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1605" documentId="8_{9D0DEC2F-002C-4EA0-A8E8-5DB80D644BF1}" xr6:coauthVersionLast="47" xr6:coauthVersionMax="47" xr10:uidLastSave="{576EFA24-1A97-4D15-807B-3E7FD8A28BB4}"/>
  <bookViews>
    <workbookView xWindow="-120" yWindow="-120" windowWidth="20730" windowHeight="11160" xr2:uid="{65EA8566-DC1E-4FF9-8F61-CC6F42DA5822}"/>
  </bookViews>
  <sheets>
    <sheet name="Instrucciones" sheetId="5" r:id="rId1"/>
    <sheet name="Parametros" sheetId="1" r:id="rId2"/>
    <sheet name="CTP" sheetId="2" r:id="rId3"/>
    <sheet name="CTP Valor Presente" sheetId="4" r:id="rId4"/>
    <sheet name="Fuentes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1" i="1" l="1"/>
  <c r="L80" i="1"/>
  <c r="H80" i="1"/>
  <c r="I80" i="1"/>
  <c r="F55" i="4" l="1"/>
  <c r="G55" i="4"/>
  <c r="H55" i="4"/>
  <c r="H73" i="4" s="1"/>
  <c r="I55" i="4"/>
  <c r="J55" i="4"/>
  <c r="J73" i="4" s="1"/>
  <c r="K55" i="4"/>
  <c r="L55" i="4"/>
  <c r="E55" i="4"/>
  <c r="F53" i="4"/>
  <c r="G53" i="4"/>
  <c r="H53" i="4"/>
  <c r="I53" i="4"/>
  <c r="J53" i="4"/>
  <c r="K53" i="4"/>
  <c r="L53" i="4"/>
  <c r="E53" i="4"/>
  <c r="L54" i="4"/>
  <c r="L56" i="4" s="1"/>
  <c r="K54" i="4"/>
  <c r="J54" i="4"/>
  <c r="I54" i="4"/>
  <c r="H54" i="4"/>
  <c r="G54" i="4"/>
  <c r="F54" i="4"/>
  <c r="E54" i="4"/>
  <c r="E12" i="2"/>
  <c r="E52" i="4"/>
  <c r="I52" i="4"/>
  <c r="I56" i="4" s="1"/>
  <c r="H52" i="4"/>
  <c r="G52" i="4"/>
  <c r="F52" i="4"/>
  <c r="G70" i="4"/>
  <c r="F51" i="4"/>
  <c r="G51" i="4"/>
  <c r="H51" i="4"/>
  <c r="I51" i="4"/>
  <c r="J51" i="4"/>
  <c r="K51" i="4"/>
  <c r="AI51" i="4" s="1"/>
  <c r="L51" i="4"/>
  <c r="E51" i="4"/>
  <c r="E45" i="4"/>
  <c r="E46" i="4"/>
  <c r="E47" i="4"/>
  <c r="AI47" i="4" s="1"/>
  <c r="E48" i="4"/>
  <c r="E49" i="4"/>
  <c r="AI49" i="4" s="1"/>
  <c r="E50" i="4"/>
  <c r="E44" i="4"/>
  <c r="F18" i="4"/>
  <c r="G18" i="4"/>
  <c r="G36" i="4" s="1"/>
  <c r="H18" i="4"/>
  <c r="H36" i="4" s="1"/>
  <c r="I18" i="4"/>
  <c r="J18" i="4"/>
  <c r="K18" i="4"/>
  <c r="L18" i="4"/>
  <c r="E18" i="4"/>
  <c r="L17" i="4"/>
  <c r="K17" i="4"/>
  <c r="J17" i="4"/>
  <c r="J19" i="4" s="1"/>
  <c r="I17" i="4"/>
  <c r="H17" i="4"/>
  <c r="G17" i="4"/>
  <c r="G35" i="4" s="1"/>
  <c r="F17" i="4"/>
  <c r="F35" i="4" s="1"/>
  <c r="E17" i="4"/>
  <c r="F16" i="4"/>
  <c r="G16" i="4"/>
  <c r="H16" i="4"/>
  <c r="H34" i="4" s="1"/>
  <c r="I16" i="4"/>
  <c r="I34" i="4" s="1"/>
  <c r="J16" i="4"/>
  <c r="K16" i="4"/>
  <c r="L16" i="4"/>
  <c r="E16" i="4"/>
  <c r="I15" i="4"/>
  <c r="H15" i="4"/>
  <c r="G15" i="4"/>
  <c r="F15" i="4"/>
  <c r="F33" i="4" s="1"/>
  <c r="E15" i="4"/>
  <c r="E33" i="4" s="1"/>
  <c r="C12" i="2"/>
  <c r="G14" i="4"/>
  <c r="H14" i="4"/>
  <c r="I14" i="4"/>
  <c r="J14" i="4"/>
  <c r="K14" i="4"/>
  <c r="L14" i="4"/>
  <c r="F14" i="4"/>
  <c r="E14" i="4"/>
  <c r="E8" i="4"/>
  <c r="E26" i="4" s="1"/>
  <c r="E9" i="4"/>
  <c r="E10" i="4"/>
  <c r="AI10" i="4" s="1"/>
  <c r="E11" i="4"/>
  <c r="E12" i="4"/>
  <c r="AI12" i="4" s="1"/>
  <c r="E13" i="4"/>
  <c r="E7" i="4"/>
  <c r="E25" i="4" s="1"/>
  <c r="AI14" i="4"/>
  <c r="E11" i="2"/>
  <c r="AI9" i="4"/>
  <c r="E6" i="2"/>
  <c r="E4" i="2"/>
  <c r="Q73" i="4"/>
  <c r="AE72" i="4"/>
  <c r="M71" i="4"/>
  <c r="AA70" i="4"/>
  <c r="I69" i="4"/>
  <c r="W68" i="4"/>
  <c r="E67" i="4"/>
  <c r="S66" i="4"/>
  <c r="AE64" i="4"/>
  <c r="O64" i="4"/>
  <c r="AA62" i="4"/>
  <c r="K62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J72" i="4"/>
  <c r="H72" i="4"/>
  <c r="J71" i="4"/>
  <c r="H71" i="4"/>
  <c r="M48" i="4"/>
  <c r="E66" i="4"/>
  <c r="E65" i="4"/>
  <c r="AI45" i="4"/>
  <c r="J43" i="4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F43" i="4"/>
  <c r="G43" i="4" s="1"/>
  <c r="H43" i="4" s="1"/>
  <c r="I43" i="4" s="1"/>
  <c r="AC36" i="4"/>
  <c r="Y36" i="4"/>
  <c r="O36" i="4"/>
  <c r="M36" i="4"/>
  <c r="AC35" i="4"/>
  <c r="R35" i="4"/>
  <c r="E35" i="4"/>
  <c r="AA34" i="4"/>
  <c r="Y34" i="4"/>
  <c r="Q34" i="4"/>
  <c r="M34" i="4"/>
  <c r="AG33" i="4"/>
  <c r="Y33" i="4"/>
  <c r="W33" i="4"/>
  <c r="O33" i="4"/>
  <c r="K33" i="4"/>
  <c r="AG32" i="4"/>
  <c r="AE32" i="4"/>
  <c r="W32" i="4"/>
  <c r="U32" i="4"/>
  <c r="AF31" i="4"/>
  <c r="Z31" i="4"/>
  <c r="W31" i="4"/>
  <c r="P31" i="4"/>
  <c r="N31" i="4"/>
  <c r="G31" i="4"/>
  <c r="E31" i="4"/>
  <c r="Z30" i="4"/>
  <c r="S30" i="4"/>
  <c r="Q30" i="4"/>
  <c r="K30" i="4"/>
  <c r="I30" i="4"/>
  <c r="AG29" i="4"/>
  <c r="AE29" i="4"/>
  <c r="Y29" i="4"/>
  <c r="W29" i="4"/>
  <c r="Q29" i="4"/>
  <c r="O29" i="4"/>
  <c r="I29" i="4"/>
  <c r="G29" i="4"/>
  <c r="AE28" i="4"/>
  <c r="AC28" i="4"/>
  <c r="W28" i="4"/>
  <c r="U28" i="4"/>
  <c r="O28" i="4"/>
  <c r="M28" i="4"/>
  <c r="G28" i="4"/>
  <c r="AC27" i="4"/>
  <c r="AA27" i="4"/>
  <c r="U27" i="4"/>
  <c r="S27" i="4"/>
  <c r="M27" i="4"/>
  <c r="K27" i="4"/>
  <c r="E27" i="4"/>
  <c r="AG26" i="4"/>
  <c r="AA26" i="4"/>
  <c r="Y26" i="4"/>
  <c r="S26" i="4"/>
  <c r="Q26" i="4"/>
  <c r="K26" i="4"/>
  <c r="I26" i="4"/>
  <c r="AG25" i="4"/>
  <c r="AE25" i="4"/>
  <c r="Y25" i="4"/>
  <c r="W25" i="4"/>
  <c r="Q25" i="4"/>
  <c r="O25" i="4"/>
  <c r="I25" i="4"/>
  <c r="G25" i="4"/>
  <c r="AG22" i="4"/>
  <c r="AG73" i="4" s="1"/>
  <c r="AF22" i="4"/>
  <c r="AF28" i="4" s="1"/>
  <c r="AE22" i="4"/>
  <c r="AE68" i="4" s="1"/>
  <c r="AD22" i="4"/>
  <c r="AD31" i="4" s="1"/>
  <c r="AC22" i="4"/>
  <c r="AB22" i="4"/>
  <c r="AB32" i="4" s="1"/>
  <c r="AA22" i="4"/>
  <c r="AA35" i="4" s="1"/>
  <c r="Z22" i="4"/>
  <c r="Z35" i="4" s="1"/>
  <c r="Y22" i="4"/>
  <c r="Y69" i="4" s="1"/>
  <c r="X22" i="4"/>
  <c r="X32" i="4" s="1"/>
  <c r="W22" i="4"/>
  <c r="W64" i="4" s="1"/>
  <c r="V22" i="4"/>
  <c r="V30" i="4" s="1"/>
  <c r="U22" i="4"/>
  <c r="T22" i="4"/>
  <c r="S22" i="4"/>
  <c r="S33" i="4" s="1"/>
  <c r="R22" i="4"/>
  <c r="R33" i="4" s="1"/>
  <c r="Q22" i="4"/>
  <c r="Q65" i="4" s="1"/>
  <c r="P22" i="4"/>
  <c r="P33" i="4" s="1"/>
  <c r="O22" i="4"/>
  <c r="O31" i="4" s="1"/>
  <c r="N22" i="4"/>
  <c r="N27" i="4" s="1"/>
  <c r="M22" i="4"/>
  <c r="L22" i="4"/>
  <c r="L30" i="4" s="1"/>
  <c r="K22" i="4"/>
  <c r="K70" i="4" s="1"/>
  <c r="J22" i="4"/>
  <c r="J28" i="4" s="1"/>
  <c r="I22" i="4"/>
  <c r="I28" i="4" s="1"/>
  <c r="H22" i="4"/>
  <c r="H31" i="4" s="1"/>
  <c r="G22" i="4"/>
  <c r="F22" i="4"/>
  <c r="F31" i="4" s="1"/>
  <c r="E22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L36" i="4"/>
  <c r="K36" i="4"/>
  <c r="J36" i="4"/>
  <c r="I36" i="4"/>
  <c r="F36" i="4"/>
  <c r="AI18" i="4"/>
  <c r="L35" i="4"/>
  <c r="K35" i="4"/>
  <c r="J35" i="4"/>
  <c r="I35" i="4"/>
  <c r="H35" i="4"/>
  <c r="L34" i="4"/>
  <c r="K34" i="4"/>
  <c r="J34" i="4"/>
  <c r="G34" i="4"/>
  <c r="E34" i="4"/>
  <c r="I33" i="4"/>
  <c r="H33" i="4"/>
  <c r="G33" i="4"/>
  <c r="L19" i="4"/>
  <c r="K32" i="4"/>
  <c r="J32" i="4"/>
  <c r="AI13" i="4"/>
  <c r="M11" i="4"/>
  <c r="M29" i="4" s="1"/>
  <c r="E29" i="4"/>
  <c r="AI8" i="4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K80" i="1"/>
  <c r="C80" i="1"/>
  <c r="E65" i="1"/>
  <c r="D80" i="1" s="1"/>
  <c r="D81" i="1" s="1"/>
  <c r="C65" i="1"/>
  <c r="B68" i="1"/>
  <c r="C68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B71" i="1"/>
  <c r="C71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C70" i="1"/>
  <c r="C67" i="1"/>
  <c r="C62" i="1"/>
  <c r="B80" i="1" s="1"/>
  <c r="B133" i="2"/>
  <c r="D140" i="2" s="1"/>
  <c r="B132" i="2"/>
  <c r="D139" i="2" s="1"/>
  <c r="B131" i="2"/>
  <c r="D138" i="2" s="1"/>
  <c r="E71" i="4" l="1"/>
  <c r="AI17" i="4"/>
  <c r="I19" i="4"/>
  <c r="F19" i="4"/>
  <c r="G19" i="4"/>
  <c r="H19" i="4"/>
  <c r="E32" i="4"/>
  <c r="Q37" i="4"/>
  <c r="T71" i="4"/>
  <c r="T67" i="4"/>
  <c r="T63" i="4"/>
  <c r="T72" i="4"/>
  <c r="T68" i="4"/>
  <c r="T64" i="4"/>
  <c r="T73" i="4"/>
  <c r="T69" i="4"/>
  <c r="T65" i="4"/>
  <c r="T33" i="4"/>
  <c r="T70" i="4"/>
  <c r="T66" i="4"/>
  <c r="T62" i="4"/>
  <c r="E28" i="4"/>
  <c r="L32" i="4"/>
  <c r="AI52" i="4"/>
  <c r="E70" i="4"/>
  <c r="F34" i="4"/>
  <c r="AI34" i="4" s="1"/>
  <c r="K19" i="4"/>
  <c r="M72" i="4"/>
  <c r="M68" i="4"/>
  <c r="M64" i="4"/>
  <c r="M73" i="4"/>
  <c r="M69" i="4"/>
  <c r="M65" i="4"/>
  <c r="M33" i="4"/>
  <c r="M70" i="4"/>
  <c r="M62" i="4"/>
  <c r="U72" i="4"/>
  <c r="U68" i="4"/>
  <c r="U64" i="4"/>
  <c r="U73" i="4"/>
  <c r="U69" i="4"/>
  <c r="U65" i="4"/>
  <c r="U33" i="4"/>
  <c r="AI33" i="4" s="1"/>
  <c r="U70" i="4"/>
  <c r="U66" i="4"/>
  <c r="U62" i="4"/>
  <c r="AC72" i="4"/>
  <c r="AC68" i="4"/>
  <c r="AC64" i="4"/>
  <c r="AC73" i="4"/>
  <c r="AC69" i="4"/>
  <c r="AC65" i="4"/>
  <c r="AC33" i="4"/>
  <c r="AC70" i="4"/>
  <c r="AC66" i="4"/>
  <c r="AC62" i="4"/>
  <c r="H25" i="4"/>
  <c r="P25" i="4"/>
  <c r="X25" i="4"/>
  <c r="AF25" i="4"/>
  <c r="J26" i="4"/>
  <c r="R26" i="4"/>
  <c r="Z26" i="4"/>
  <c r="L27" i="4"/>
  <c r="T27" i="4"/>
  <c r="AB27" i="4"/>
  <c r="F28" i="4"/>
  <c r="N28" i="4"/>
  <c r="V28" i="4"/>
  <c r="AD28" i="4"/>
  <c r="H29" i="4"/>
  <c r="P29" i="4"/>
  <c r="X29" i="4"/>
  <c r="AF29" i="4"/>
  <c r="J30" i="4"/>
  <c r="R30" i="4"/>
  <c r="AA30" i="4"/>
  <c r="X31" i="4"/>
  <c r="M32" i="4"/>
  <c r="V32" i="4"/>
  <c r="AF32" i="4"/>
  <c r="N33" i="4"/>
  <c r="X33" i="4"/>
  <c r="P34" i="4"/>
  <c r="Z34" i="4"/>
  <c r="S35" i="4"/>
  <c r="AE35" i="4"/>
  <c r="N36" i="4"/>
  <c r="AB36" i="4"/>
  <c r="F69" i="4"/>
  <c r="F70" i="4"/>
  <c r="I71" i="4"/>
  <c r="I72" i="4"/>
  <c r="S62" i="4"/>
  <c r="AA66" i="4"/>
  <c r="I73" i="4"/>
  <c r="F68" i="4"/>
  <c r="F64" i="4"/>
  <c r="F65" i="4"/>
  <c r="F66" i="4"/>
  <c r="F62" i="4"/>
  <c r="F67" i="4"/>
  <c r="F63" i="4"/>
  <c r="AI7" i="4"/>
  <c r="E19" i="4"/>
  <c r="M19" i="4"/>
  <c r="G65" i="4"/>
  <c r="G66" i="4"/>
  <c r="G62" i="4"/>
  <c r="G67" i="4"/>
  <c r="G63" i="4"/>
  <c r="O73" i="4"/>
  <c r="O69" i="4"/>
  <c r="O65" i="4"/>
  <c r="O70" i="4"/>
  <c r="O66" i="4"/>
  <c r="O62" i="4"/>
  <c r="O34" i="4"/>
  <c r="O71" i="4"/>
  <c r="O67" i="4"/>
  <c r="O63" i="4"/>
  <c r="W73" i="4"/>
  <c r="W69" i="4"/>
  <c r="W65" i="4"/>
  <c r="W70" i="4"/>
  <c r="W66" i="4"/>
  <c r="W62" i="4"/>
  <c r="W34" i="4"/>
  <c r="W30" i="4"/>
  <c r="W71" i="4"/>
  <c r="W67" i="4"/>
  <c r="W63" i="4"/>
  <c r="AE73" i="4"/>
  <c r="AE69" i="4"/>
  <c r="AE65" i="4"/>
  <c r="AE70" i="4"/>
  <c r="AE66" i="4"/>
  <c r="AE62" i="4"/>
  <c r="AE34" i="4"/>
  <c r="AE30" i="4"/>
  <c r="AE71" i="4"/>
  <c r="AE67" i="4"/>
  <c r="AE63" i="4"/>
  <c r="J25" i="4"/>
  <c r="R25" i="4"/>
  <c r="R37" i="4" s="1"/>
  <c r="Z25" i="4"/>
  <c r="L26" i="4"/>
  <c r="T26" i="4"/>
  <c r="AB26" i="4"/>
  <c r="F27" i="4"/>
  <c r="AI27" i="4" s="1"/>
  <c r="V27" i="4"/>
  <c r="AD27" i="4"/>
  <c r="H28" i="4"/>
  <c r="P28" i="4"/>
  <c r="X28" i="4"/>
  <c r="J29" i="4"/>
  <c r="R29" i="4"/>
  <c r="Z29" i="4"/>
  <c r="T30" i="4"/>
  <c r="AC30" i="4"/>
  <c r="R31" i="4"/>
  <c r="AA31" i="4"/>
  <c r="F32" i="4"/>
  <c r="O32" i="4"/>
  <c r="Z33" i="4"/>
  <c r="R34" i="4"/>
  <c r="AB34" i="4"/>
  <c r="U35" i="4"/>
  <c r="E36" i="4"/>
  <c r="AI36" i="4" s="1"/>
  <c r="Q36" i="4"/>
  <c r="AD36" i="4"/>
  <c r="M56" i="4"/>
  <c r="M66" i="4"/>
  <c r="H69" i="4"/>
  <c r="H56" i="4"/>
  <c r="H70" i="4"/>
  <c r="K71" i="4"/>
  <c r="K72" i="4"/>
  <c r="K73" i="4"/>
  <c r="E63" i="4"/>
  <c r="I65" i="4"/>
  <c r="M67" i="4"/>
  <c r="Q69" i="4"/>
  <c r="U71" i="4"/>
  <c r="Y73" i="4"/>
  <c r="AI16" i="4"/>
  <c r="L67" i="4"/>
  <c r="L63" i="4"/>
  <c r="L68" i="4"/>
  <c r="L64" i="4"/>
  <c r="L65" i="4"/>
  <c r="L33" i="4"/>
  <c r="L70" i="4"/>
  <c r="L66" i="4"/>
  <c r="L62" i="4"/>
  <c r="N72" i="4"/>
  <c r="N68" i="4"/>
  <c r="N64" i="4"/>
  <c r="N73" i="4"/>
  <c r="N69" i="4"/>
  <c r="N65" i="4"/>
  <c r="N70" i="4"/>
  <c r="N66" i="4"/>
  <c r="N62" i="4"/>
  <c r="N34" i="4"/>
  <c r="N71" i="4"/>
  <c r="N67" i="4"/>
  <c r="N63" i="4"/>
  <c r="N35" i="4"/>
  <c r="AI35" i="4" s="1"/>
  <c r="AI11" i="4"/>
  <c r="H65" i="4"/>
  <c r="H66" i="4"/>
  <c r="H62" i="4"/>
  <c r="H67" i="4"/>
  <c r="H63" i="4"/>
  <c r="H68" i="4"/>
  <c r="H64" i="4"/>
  <c r="P73" i="4"/>
  <c r="P69" i="4"/>
  <c r="P65" i="4"/>
  <c r="P70" i="4"/>
  <c r="P66" i="4"/>
  <c r="P62" i="4"/>
  <c r="P71" i="4"/>
  <c r="P67" i="4"/>
  <c r="P63" i="4"/>
  <c r="P35" i="4"/>
  <c r="P72" i="4"/>
  <c r="P68" i="4"/>
  <c r="P64" i="4"/>
  <c r="P36" i="4"/>
  <c r="X73" i="4"/>
  <c r="X69" i="4"/>
  <c r="X65" i="4"/>
  <c r="X70" i="4"/>
  <c r="X66" i="4"/>
  <c r="X62" i="4"/>
  <c r="X71" i="4"/>
  <c r="X67" i="4"/>
  <c r="X63" i="4"/>
  <c r="X35" i="4"/>
  <c r="X72" i="4"/>
  <c r="X68" i="4"/>
  <c r="X64" i="4"/>
  <c r="X36" i="4"/>
  <c r="AF73" i="4"/>
  <c r="AF69" i="4"/>
  <c r="AF65" i="4"/>
  <c r="AF70" i="4"/>
  <c r="AF66" i="4"/>
  <c r="AF62" i="4"/>
  <c r="AF71" i="4"/>
  <c r="AF67" i="4"/>
  <c r="AF63" i="4"/>
  <c r="AF35" i="4"/>
  <c r="AF72" i="4"/>
  <c r="AF68" i="4"/>
  <c r="AF64" i="4"/>
  <c r="AF36" i="4"/>
  <c r="K25" i="4"/>
  <c r="S25" i="4"/>
  <c r="AA25" i="4"/>
  <c r="M26" i="4"/>
  <c r="U26" i="4"/>
  <c r="AC26" i="4"/>
  <c r="G27" i="4"/>
  <c r="O27" i="4"/>
  <c r="W27" i="4"/>
  <c r="AE27" i="4"/>
  <c r="Q28" i="4"/>
  <c r="Y28" i="4"/>
  <c r="AG28" i="4"/>
  <c r="K29" i="4"/>
  <c r="S29" i="4"/>
  <c r="AA29" i="4"/>
  <c r="E30" i="4"/>
  <c r="M30" i="4"/>
  <c r="U30" i="4"/>
  <c r="AD30" i="4"/>
  <c r="J31" i="4"/>
  <c r="S31" i="4"/>
  <c r="AB31" i="4"/>
  <c r="G32" i="4"/>
  <c r="P32" i="4"/>
  <c r="Y32" i="4"/>
  <c r="Q33" i="4"/>
  <c r="AA33" i="4"/>
  <c r="S34" i="4"/>
  <c r="AC34" i="4"/>
  <c r="W35" i="4"/>
  <c r="T36" i="4"/>
  <c r="AE36" i="4"/>
  <c r="E56" i="4"/>
  <c r="E62" i="4"/>
  <c r="AI48" i="4"/>
  <c r="I70" i="4"/>
  <c r="L71" i="4"/>
  <c r="L72" i="4"/>
  <c r="L73" i="4"/>
  <c r="M63" i="4"/>
  <c r="U67" i="4"/>
  <c r="AC71" i="4"/>
  <c r="I66" i="4"/>
  <c r="I62" i="4"/>
  <c r="I67" i="4"/>
  <c r="I63" i="4"/>
  <c r="I31" i="4"/>
  <c r="AI31" i="4" s="1"/>
  <c r="I68" i="4"/>
  <c r="I64" i="4"/>
  <c r="Q70" i="4"/>
  <c r="Q66" i="4"/>
  <c r="Q62" i="4"/>
  <c r="Q71" i="4"/>
  <c r="Q67" i="4"/>
  <c r="Q63" i="4"/>
  <c r="Q35" i="4"/>
  <c r="Q31" i="4"/>
  <c r="Q72" i="4"/>
  <c r="Q68" i="4"/>
  <c r="Q64" i="4"/>
  <c r="Y70" i="4"/>
  <c r="Y66" i="4"/>
  <c r="Y62" i="4"/>
  <c r="Y71" i="4"/>
  <c r="Y67" i="4"/>
  <c r="Y63" i="4"/>
  <c r="Y35" i="4"/>
  <c r="Y31" i="4"/>
  <c r="Y72" i="4"/>
  <c r="Y68" i="4"/>
  <c r="Y64" i="4"/>
  <c r="AG70" i="4"/>
  <c r="AG66" i="4"/>
  <c r="AG62" i="4"/>
  <c r="AG71" i="4"/>
  <c r="AG67" i="4"/>
  <c r="AG63" i="4"/>
  <c r="AG35" i="4"/>
  <c r="AG31" i="4"/>
  <c r="AG72" i="4"/>
  <c r="AG68" i="4"/>
  <c r="AG64" i="4"/>
  <c r="L25" i="4"/>
  <c r="T25" i="4"/>
  <c r="AB25" i="4"/>
  <c r="F26" i="4"/>
  <c r="AI26" i="4" s="1"/>
  <c r="N26" i="4"/>
  <c r="V26" i="4"/>
  <c r="AD26" i="4"/>
  <c r="H27" i="4"/>
  <c r="P27" i="4"/>
  <c r="X27" i="4"/>
  <c r="AF27" i="4"/>
  <c r="R28" i="4"/>
  <c r="Z28" i="4"/>
  <c r="L29" i="4"/>
  <c r="T29" i="4"/>
  <c r="AB29" i="4"/>
  <c r="F30" i="4"/>
  <c r="N30" i="4"/>
  <c r="AF30" i="4"/>
  <c r="K31" i="4"/>
  <c r="T31" i="4"/>
  <c r="AC31" i="4"/>
  <c r="H32" i="4"/>
  <c r="Q32" i="4"/>
  <c r="AD33" i="4"/>
  <c r="T34" i="4"/>
  <c r="AF34" i="4"/>
  <c r="U36" i="4"/>
  <c r="AG36" i="4"/>
  <c r="AI44" i="4"/>
  <c r="J56" i="4"/>
  <c r="J69" i="4"/>
  <c r="AI53" i="4"/>
  <c r="E72" i="4"/>
  <c r="AI55" i="4"/>
  <c r="F56" i="4"/>
  <c r="U63" i="4"/>
  <c r="Y65" i="4"/>
  <c r="AC67" i="4"/>
  <c r="AG69" i="4"/>
  <c r="G72" i="4"/>
  <c r="AB71" i="4"/>
  <c r="AB67" i="4"/>
  <c r="AB63" i="4"/>
  <c r="AB72" i="4"/>
  <c r="AB68" i="4"/>
  <c r="AB64" i="4"/>
  <c r="AB73" i="4"/>
  <c r="AB69" i="4"/>
  <c r="AB65" i="4"/>
  <c r="AB33" i="4"/>
  <c r="AB70" i="4"/>
  <c r="AB66" i="4"/>
  <c r="AB62" i="4"/>
  <c r="V72" i="4"/>
  <c r="V68" i="4"/>
  <c r="V64" i="4"/>
  <c r="V73" i="4"/>
  <c r="V69" i="4"/>
  <c r="V65" i="4"/>
  <c r="V70" i="4"/>
  <c r="V66" i="4"/>
  <c r="V62" i="4"/>
  <c r="V34" i="4"/>
  <c r="V71" i="4"/>
  <c r="V67" i="4"/>
  <c r="V63" i="4"/>
  <c r="V35" i="4"/>
  <c r="AB30" i="4"/>
  <c r="J70" i="4"/>
  <c r="J66" i="4"/>
  <c r="J62" i="4"/>
  <c r="J67" i="4"/>
  <c r="J63" i="4"/>
  <c r="J68" i="4"/>
  <c r="J64" i="4"/>
  <c r="J65" i="4"/>
  <c r="R70" i="4"/>
  <c r="R66" i="4"/>
  <c r="R62" i="4"/>
  <c r="R71" i="4"/>
  <c r="R67" i="4"/>
  <c r="R63" i="4"/>
  <c r="R72" i="4"/>
  <c r="R68" i="4"/>
  <c r="R64" i="4"/>
  <c r="R36" i="4"/>
  <c r="R73" i="4"/>
  <c r="R69" i="4"/>
  <c r="R65" i="4"/>
  <c r="Z70" i="4"/>
  <c r="Z66" i="4"/>
  <c r="Z62" i="4"/>
  <c r="Z71" i="4"/>
  <c r="Z67" i="4"/>
  <c r="Z63" i="4"/>
  <c r="Z72" i="4"/>
  <c r="Z68" i="4"/>
  <c r="Z64" i="4"/>
  <c r="Z36" i="4"/>
  <c r="Z32" i="4"/>
  <c r="Z73" i="4"/>
  <c r="Z69" i="4"/>
  <c r="Z65" i="4"/>
  <c r="M25" i="4"/>
  <c r="U25" i="4"/>
  <c r="U37" i="4" s="1"/>
  <c r="AC25" i="4"/>
  <c r="G26" i="4"/>
  <c r="O26" i="4"/>
  <c r="O37" i="4" s="1"/>
  <c r="W26" i="4"/>
  <c r="W37" i="4" s="1"/>
  <c r="AE26" i="4"/>
  <c r="AE37" i="4" s="1"/>
  <c r="I27" i="4"/>
  <c r="I37" i="4" s="1"/>
  <c r="Q27" i="4"/>
  <c r="Y27" i="4"/>
  <c r="Y37" i="4" s="1"/>
  <c r="AG27" i="4"/>
  <c r="AG37" i="4" s="1"/>
  <c r="K28" i="4"/>
  <c r="S28" i="4"/>
  <c r="AA28" i="4"/>
  <c r="U29" i="4"/>
  <c r="AC29" i="4"/>
  <c r="G30" i="4"/>
  <c r="O30" i="4"/>
  <c r="X30" i="4"/>
  <c r="AG30" i="4"/>
  <c r="L31" i="4"/>
  <c r="U31" i="4"/>
  <c r="I32" i="4"/>
  <c r="R32" i="4"/>
  <c r="AC32" i="4"/>
  <c r="AE33" i="4"/>
  <c r="U34" i="4"/>
  <c r="AG34" i="4"/>
  <c r="M35" i="4"/>
  <c r="V36" i="4"/>
  <c r="K69" i="4"/>
  <c r="F71" i="4"/>
  <c r="F72" i="4"/>
  <c r="F73" i="4"/>
  <c r="AC63" i="4"/>
  <c r="AG65" i="4"/>
  <c r="G68" i="4"/>
  <c r="O72" i="4"/>
  <c r="AD72" i="4"/>
  <c r="AD68" i="4"/>
  <c r="AD64" i="4"/>
  <c r="AD73" i="4"/>
  <c r="AD69" i="4"/>
  <c r="AD65" i="4"/>
  <c r="AD70" i="4"/>
  <c r="AD66" i="4"/>
  <c r="AD62" i="4"/>
  <c r="AD34" i="4"/>
  <c r="AD71" i="4"/>
  <c r="AD67" i="4"/>
  <c r="AD63" i="4"/>
  <c r="AD35" i="4"/>
  <c r="N32" i="4"/>
  <c r="T35" i="4"/>
  <c r="G69" i="4"/>
  <c r="G56" i="4"/>
  <c r="AI15" i="4"/>
  <c r="K67" i="4"/>
  <c r="K63" i="4"/>
  <c r="K68" i="4"/>
  <c r="K64" i="4"/>
  <c r="K65" i="4"/>
  <c r="S71" i="4"/>
  <c r="S67" i="4"/>
  <c r="S63" i="4"/>
  <c r="S72" i="4"/>
  <c r="S68" i="4"/>
  <c r="S64" i="4"/>
  <c r="S36" i="4"/>
  <c r="S32" i="4"/>
  <c r="S73" i="4"/>
  <c r="S69" i="4"/>
  <c r="S65" i="4"/>
  <c r="AA71" i="4"/>
  <c r="AA67" i="4"/>
  <c r="AA63" i="4"/>
  <c r="AA72" i="4"/>
  <c r="AA68" i="4"/>
  <c r="AA64" i="4"/>
  <c r="AA36" i="4"/>
  <c r="AA32" i="4"/>
  <c r="AA73" i="4"/>
  <c r="AA69" i="4"/>
  <c r="AA65" i="4"/>
  <c r="F25" i="4"/>
  <c r="AI25" i="4" s="1"/>
  <c r="N25" i="4"/>
  <c r="V25" i="4"/>
  <c r="AD25" i="4"/>
  <c r="H26" i="4"/>
  <c r="P26" i="4"/>
  <c r="X26" i="4"/>
  <c r="AF26" i="4"/>
  <c r="J27" i="4"/>
  <c r="R27" i="4"/>
  <c r="Z27" i="4"/>
  <c r="L28" i="4"/>
  <c r="T28" i="4"/>
  <c r="AB28" i="4"/>
  <c r="F29" i="4"/>
  <c r="AI29" i="4" s="1"/>
  <c r="N29" i="4"/>
  <c r="V29" i="4"/>
  <c r="AD29" i="4"/>
  <c r="H30" i="4"/>
  <c r="P30" i="4"/>
  <c r="Y30" i="4"/>
  <c r="M31" i="4"/>
  <c r="V31" i="4"/>
  <c r="AE31" i="4"/>
  <c r="T32" i="4"/>
  <c r="AD32" i="4"/>
  <c r="J33" i="4"/>
  <c r="V33" i="4"/>
  <c r="AF33" i="4"/>
  <c r="X34" i="4"/>
  <c r="O35" i="4"/>
  <c r="AB35" i="4"/>
  <c r="W36" i="4"/>
  <c r="E64" i="4"/>
  <c r="AI46" i="4"/>
  <c r="E68" i="4"/>
  <c r="L69" i="4"/>
  <c r="G71" i="4"/>
  <c r="G73" i="4"/>
  <c r="G64" i="4"/>
  <c r="K66" i="4"/>
  <c r="O68" i="4"/>
  <c r="S70" i="4"/>
  <c r="W72" i="4"/>
  <c r="AI50" i="4"/>
  <c r="E69" i="4"/>
  <c r="E73" i="4"/>
  <c r="AI54" i="4"/>
  <c r="K56" i="4"/>
  <c r="C81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AI69" i="4" l="1"/>
  <c r="AI71" i="4"/>
  <c r="AI66" i="4"/>
  <c r="K74" i="4"/>
  <c r="AI67" i="4"/>
  <c r="AI65" i="4"/>
  <c r="AA74" i="4"/>
  <c r="G37" i="4"/>
  <c r="AI32" i="4"/>
  <c r="I74" i="4"/>
  <c r="J37" i="4"/>
  <c r="P37" i="4"/>
  <c r="AI68" i="4"/>
  <c r="AD37" i="4"/>
  <c r="R74" i="4"/>
  <c r="J74" i="4"/>
  <c r="L37" i="4"/>
  <c r="P74" i="4"/>
  <c r="W74" i="4"/>
  <c r="H37" i="4"/>
  <c r="AI70" i="4"/>
  <c r="X37" i="4"/>
  <c r="Q74" i="4"/>
  <c r="V37" i="4"/>
  <c r="AD74" i="4"/>
  <c r="AG74" i="4"/>
  <c r="AI62" i="4"/>
  <c r="E74" i="4"/>
  <c r="AA37" i="4"/>
  <c r="AC74" i="4"/>
  <c r="N37" i="4"/>
  <c r="V74" i="4"/>
  <c r="AI56" i="4"/>
  <c r="S37" i="4"/>
  <c r="X74" i="4"/>
  <c r="H74" i="4"/>
  <c r="O74" i="4"/>
  <c r="G74" i="4"/>
  <c r="AB37" i="4"/>
  <c r="M37" i="4"/>
  <c r="AI72" i="4"/>
  <c r="AI64" i="4"/>
  <c r="F37" i="4"/>
  <c r="Z74" i="4"/>
  <c r="AB74" i="4"/>
  <c r="AI30" i="4"/>
  <c r="K37" i="4"/>
  <c r="N74" i="4"/>
  <c r="AI63" i="4"/>
  <c r="S74" i="4"/>
  <c r="U74" i="4"/>
  <c r="E37" i="4"/>
  <c r="Y74" i="4"/>
  <c r="AF74" i="4"/>
  <c r="L74" i="4"/>
  <c r="F74" i="4"/>
  <c r="AI28" i="4"/>
  <c r="AI19" i="4"/>
  <c r="T37" i="4"/>
  <c r="AI73" i="4"/>
  <c r="AC37" i="4"/>
  <c r="Z37" i="4"/>
  <c r="AE74" i="4"/>
  <c r="AF37" i="4"/>
  <c r="M74" i="4"/>
  <c r="T74" i="4"/>
  <c r="C82" i="1"/>
  <c r="C4" i="2"/>
  <c r="E5" i="2"/>
  <c r="H11" i="1"/>
  <c r="H10" i="1"/>
  <c r="H8" i="1"/>
  <c r="H7" i="1"/>
  <c r="I7" i="1"/>
  <c r="I6" i="1"/>
  <c r="AI37" i="4" l="1"/>
  <c r="AI74" i="4"/>
  <c r="C83" i="1"/>
  <c r="E9" i="2"/>
  <c r="C84" i="1" l="1"/>
  <c r="C21" i="1"/>
  <c r="I8" i="1" s="1"/>
  <c r="C85" i="1" l="1"/>
  <c r="F91" i="2"/>
  <c r="E91" i="2"/>
  <c r="E29" i="2"/>
  <c r="E10" i="2"/>
  <c r="E7" i="2"/>
  <c r="E8" i="2"/>
  <c r="C86" i="1" l="1"/>
  <c r="E95" i="2"/>
  <c r="F95" i="2" s="1"/>
  <c r="E97" i="2"/>
  <c r="E96" i="2"/>
  <c r="E98" i="2"/>
  <c r="C45" i="1"/>
  <c r="C46" i="1" s="1"/>
  <c r="C43" i="1"/>
  <c r="C42" i="1"/>
  <c r="C20" i="1"/>
  <c r="I5" i="1"/>
  <c r="H5" i="1"/>
  <c r="C87" i="1" l="1"/>
  <c r="D33" i="2"/>
  <c r="F115" i="2" s="1"/>
  <c r="C35" i="2"/>
  <c r="F98" i="2"/>
  <c r="F96" i="2"/>
  <c r="F97" i="2"/>
  <c r="D39" i="2"/>
  <c r="F121" i="2" s="1"/>
  <c r="C13" i="2"/>
  <c r="D38" i="2"/>
  <c r="F120" i="2" s="1"/>
  <c r="D37" i="2"/>
  <c r="D40" i="2"/>
  <c r="F122" i="2" s="1"/>
  <c r="D41" i="2"/>
  <c r="E99" i="2"/>
  <c r="F99" i="2" s="1"/>
  <c r="C88" i="1" l="1"/>
  <c r="C89" i="1" l="1"/>
  <c r="D82" i="1"/>
  <c r="D83" i="1" l="1"/>
  <c r="C90" i="1"/>
  <c r="H88" i="1"/>
  <c r="C30" i="1"/>
  <c r="M82" i="1" s="1"/>
  <c r="C91" i="1" l="1"/>
  <c r="I82" i="1"/>
  <c r="N80" i="1"/>
  <c r="M80" i="1"/>
  <c r="I81" i="1"/>
  <c r="N81" i="1"/>
  <c r="M81" i="1"/>
  <c r="N82" i="1"/>
  <c r="D84" i="1"/>
  <c r="M83" i="1"/>
  <c r="N83" i="1"/>
  <c r="I83" i="1"/>
  <c r="H89" i="1"/>
  <c r="D85" i="1" l="1"/>
  <c r="N84" i="1"/>
  <c r="I84" i="1"/>
  <c r="M84" i="1"/>
  <c r="C92" i="1"/>
  <c r="C22" i="1"/>
  <c r="C93" i="1" l="1"/>
  <c r="D86" i="1"/>
  <c r="I85" i="1"/>
  <c r="M85" i="1"/>
  <c r="N85" i="1"/>
  <c r="D91" i="2"/>
  <c r="C91" i="2"/>
  <c r="C33" i="2"/>
  <c r="C115" i="2" s="1"/>
  <c r="D34" i="2"/>
  <c r="F116" i="2" s="1"/>
  <c r="C7" i="2"/>
  <c r="C9" i="2"/>
  <c r="C10" i="2"/>
  <c r="C11" i="2"/>
  <c r="C8" i="2"/>
  <c r="C95" i="2" s="1"/>
  <c r="D95" i="2" s="1"/>
  <c r="E13" i="2"/>
  <c r="D35" i="2"/>
  <c r="F117" i="2" s="1"/>
  <c r="C139" i="1"/>
  <c r="C141" i="1" s="1"/>
  <c r="E92" i="2"/>
  <c r="C92" i="2"/>
  <c r="D92" i="2" s="1"/>
  <c r="D87" i="1" l="1"/>
  <c r="N86" i="1"/>
  <c r="M86" i="1"/>
  <c r="I86" i="1"/>
  <c r="C94" i="1"/>
  <c r="G34" i="2"/>
  <c r="G36" i="2"/>
  <c r="D42" i="2"/>
  <c r="C40" i="2"/>
  <c r="C122" i="2" s="1"/>
  <c r="C98" i="2"/>
  <c r="C39" i="2"/>
  <c r="C121" i="2" s="1"/>
  <c r="C97" i="2"/>
  <c r="C38" i="2"/>
  <c r="C120" i="2" s="1"/>
  <c r="C96" i="2"/>
  <c r="C36" i="2"/>
  <c r="C37" i="2"/>
  <c r="C119" i="2" s="1"/>
  <c r="I43" i="1"/>
  <c r="F100" i="2" s="1"/>
  <c r="D36" i="2"/>
  <c r="F118" i="2" s="1"/>
  <c r="H34" i="2"/>
  <c r="H36" i="2"/>
  <c r="H42" i="1"/>
  <c r="D115" i="2" s="1"/>
  <c r="H43" i="1"/>
  <c r="E100" i="2" s="1"/>
  <c r="F92" i="2"/>
  <c r="H45" i="1"/>
  <c r="H46" i="1" s="1"/>
  <c r="I42" i="1"/>
  <c r="E115" i="2" s="1"/>
  <c r="I45" i="1"/>
  <c r="I46" i="1" s="1"/>
  <c r="C95" i="1" l="1"/>
  <c r="D88" i="1"/>
  <c r="N87" i="1"/>
  <c r="M87" i="1"/>
  <c r="I87" i="1"/>
  <c r="G35" i="2"/>
  <c r="G115" i="2"/>
  <c r="G122" i="2"/>
  <c r="G120" i="2"/>
  <c r="G121" i="2"/>
  <c r="H119" i="2"/>
  <c r="H115" i="2"/>
  <c r="H121" i="2"/>
  <c r="H120" i="2"/>
  <c r="H122" i="2"/>
  <c r="G116" i="2"/>
  <c r="D98" i="2"/>
  <c r="E122" i="2" s="1"/>
  <c r="D122" i="2"/>
  <c r="D97" i="2"/>
  <c r="E121" i="2" s="1"/>
  <c r="D121" i="2"/>
  <c r="D96" i="2"/>
  <c r="E120" i="2" s="1"/>
  <c r="D120" i="2"/>
  <c r="C41" i="2"/>
  <c r="C99" i="2"/>
  <c r="I34" i="2"/>
  <c r="H117" i="2"/>
  <c r="H116" i="2"/>
  <c r="H35" i="2"/>
  <c r="I36" i="2"/>
  <c r="G119" i="2"/>
  <c r="G117" i="2"/>
  <c r="D100" i="2"/>
  <c r="E124" i="2" s="1"/>
  <c r="F139" i="1"/>
  <c r="C100" i="2"/>
  <c r="D124" i="2" s="1"/>
  <c r="G124" i="2"/>
  <c r="H139" i="1"/>
  <c r="G139" i="1"/>
  <c r="H124" i="2"/>
  <c r="I139" i="1"/>
  <c r="E119" i="2"/>
  <c r="E116" i="2"/>
  <c r="D116" i="2"/>
  <c r="D119" i="2"/>
  <c r="F119" i="2"/>
  <c r="D89" i="1" l="1"/>
  <c r="M88" i="1"/>
  <c r="I88" i="1"/>
  <c r="N88" i="1"/>
  <c r="C96" i="1"/>
  <c r="F101" i="2"/>
  <c r="E101" i="2"/>
  <c r="E14" i="2"/>
  <c r="I35" i="2"/>
  <c r="D99" i="2"/>
  <c r="D123" i="2"/>
  <c r="F102" i="2"/>
  <c r="H126" i="2" s="1"/>
  <c r="C102" i="2"/>
  <c r="D126" i="2" s="1"/>
  <c r="D102" i="2"/>
  <c r="E126" i="2" s="1"/>
  <c r="E102" i="2"/>
  <c r="G126" i="2" s="1"/>
  <c r="E15" i="2" l="1"/>
  <c r="D90" i="1"/>
  <c r="N89" i="1"/>
  <c r="I89" i="1"/>
  <c r="M89" i="1"/>
  <c r="C97" i="1"/>
  <c r="F6" i="2" l="1"/>
  <c r="F12" i="2"/>
  <c r="D91" i="1"/>
  <c r="N90" i="1"/>
  <c r="M90" i="1"/>
  <c r="I90" i="1"/>
  <c r="C98" i="1"/>
  <c r="F5" i="2"/>
  <c r="F4" i="2"/>
  <c r="E20" i="2"/>
  <c r="C138" i="1"/>
  <c r="C140" i="1" s="1"/>
  <c r="C17" i="2" s="1"/>
  <c r="C34" i="2"/>
  <c r="C116" i="2" s="1"/>
  <c r="C42" i="2"/>
  <c r="C118" i="2"/>
  <c r="C123" i="2"/>
  <c r="E94" i="2"/>
  <c r="E17" i="2"/>
  <c r="D44" i="2" s="1"/>
  <c r="C94" i="2"/>
  <c r="D118" i="2" s="1"/>
  <c r="H81" i="1"/>
  <c r="C99" i="1" l="1"/>
  <c r="D92" i="1"/>
  <c r="I91" i="1"/>
  <c r="M91" i="1"/>
  <c r="N91" i="1"/>
  <c r="G118" i="2"/>
  <c r="E104" i="2"/>
  <c r="E16" i="2"/>
  <c r="E18" i="2"/>
  <c r="E24" i="2" s="1"/>
  <c r="C44" i="2"/>
  <c r="C126" i="2" s="1"/>
  <c r="K81" i="1"/>
  <c r="F123" i="2"/>
  <c r="G123" i="2"/>
  <c r="F94" i="2"/>
  <c r="D94" i="2"/>
  <c r="E118" i="2" s="1"/>
  <c r="F124" i="2"/>
  <c r="F126" i="2"/>
  <c r="C124" i="2"/>
  <c r="C100" i="1" l="1"/>
  <c r="D93" i="1"/>
  <c r="I92" i="1"/>
  <c r="N92" i="1"/>
  <c r="M92" i="1"/>
  <c r="H118" i="2"/>
  <c r="F104" i="2"/>
  <c r="K82" i="1"/>
  <c r="L82" i="1"/>
  <c r="H82" i="1"/>
  <c r="H123" i="2"/>
  <c r="C101" i="1" l="1"/>
  <c r="D94" i="1"/>
  <c r="I93" i="1"/>
  <c r="M93" i="1"/>
  <c r="N93" i="1"/>
  <c r="K83" i="1"/>
  <c r="L83" i="1"/>
  <c r="H83" i="1"/>
  <c r="C102" i="1" l="1"/>
  <c r="D95" i="1"/>
  <c r="N94" i="1"/>
  <c r="M94" i="1"/>
  <c r="I94" i="1"/>
  <c r="K84" i="1"/>
  <c r="L84" i="1"/>
  <c r="H84" i="1"/>
  <c r="E123" i="2"/>
  <c r="C103" i="1" l="1"/>
  <c r="D96" i="1"/>
  <c r="M95" i="1"/>
  <c r="I95" i="1"/>
  <c r="N95" i="1"/>
  <c r="K85" i="1"/>
  <c r="L85" i="1"/>
  <c r="H85" i="1"/>
  <c r="C104" i="1" l="1"/>
  <c r="D97" i="1"/>
  <c r="I96" i="1"/>
  <c r="N96" i="1"/>
  <c r="M96" i="1"/>
  <c r="K86" i="1"/>
  <c r="L86" i="1"/>
  <c r="H86" i="1"/>
  <c r="D98" i="1" l="1"/>
  <c r="N97" i="1"/>
  <c r="I97" i="1"/>
  <c r="M97" i="1"/>
  <c r="C105" i="1"/>
  <c r="K87" i="1"/>
  <c r="L87" i="1"/>
  <c r="H87" i="1"/>
  <c r="C14" i="2" s="1"/>
  <c r="C106" i="1" l="1"/>
  <c r="D99" i="1"/>
  <c r="N98" i="1"/>
  <c r="M98" i="1"/>
  <c r="I98" i="1"/>
  <c r="C15" i="2"/>
  <c r="K88" i="1"/>
  <c r="L88" i="1"/>
  <c r="D6" i="2" l="1"/>
  <c r="D12" i="2"/>
  <c r="C107" i="1"/>
  <c r="D100" i="1"/>
  <c r="N99" i="1"/>
  <c r="M99" i="1"/>
  <c r="I99" i="1"/>
  <c r="C20" i="2"/>
  <c r="C21" i="2" s="1"/>
  <c r="D4" i="2"/>
  <c r="D5" i="2"/>
  <c r="K89" i="1"/>
  <c r="L89" i="1"/>
  <c r="C108" i="1" l="1"/>
  <c r="D101" i="1"/>
  <c r="M100" i="1"/>
  <c r="N100" i="1"/>
  <c r="I100" i="1"/>
  <c r="K90" i="1"/>
  <c r="L90" i="1"/>
  <c r="H90" i="1"/>
  <c r="D102" i="1" l="1"/>
  <c r="I101" i="1"/>
  <c r="M101" i="1"/>
  <c r="N101" i="1"/>
  <c r="K91" i="1"/>
  <c r="L91" i="1"/>
  <c r="H91" i="1"/>
  <c r="D103" i="1" l="1"/>
  <c r="N102" i="1"/>
  <c r="M102" i="1"/>
  <c r="I102" i="1"/>
  <c r="K92" i="1"/>
  <c r="L92" i="1"/>
  <c r="H92" i="1"/>
  <c r="D104" i="1" l="1"/>
  <c r="N103" i="1"/>
  <c r="M103" i="1"/>
  <c r="I103" i="1"/>
  <c r="K93" i="1"/>
  <c r="L93" i="1"/>
  <c r="H93" i="1"/>
  <c r="D105" i="1" l="1"/>
  <c r="M104" i="1"/>
  <c r="N104" i="1"/>
  <c r="I104" i="1"/>
  <c r="K94" i="1"/>
  <c r="L94" i="1"/>
  <c r="H94" i="1"/>
  <c r="D106" i="1" l="1"/>
  <c r="I105" i="1"/>
  <c r="M105" i="1"/>
  <c r="N105" i="1"/>
  <c r="D101" i="2"/>
  <c r="D104" i="2" s="1"/>
  <c r="C101" i="2"/>
  <c r="C104" i="2" s="1"/>
  <c r="C43" i="2"/>
  <c r="C125" i="2" s="1"/>
  <c r="C127" i="2" s="1"/>
  <c r="K95" i="1"/>
  <c r="L95" i="1"/>
  <c r="H95" i="1"/>
  <c r="D107" i="1" l="1"/>
  <c r="N106" i="1"/>
  <c r="I106" i="1"/>
  <c r="M106" i="1"/>
  <c r="C108" i="2"/>
  <c r="C109" i="2" s="1"/>
  <c r="G125" i="2"/>
  <c r="G127" i="2" s="1"/>
  <c r="E108" i="2"/>
  <c r="E109" i="2" s="1"/>
  <c r="H125" i="2"/>
  <c r="H127" i="2" s="1"/>
  <c r="D131" i="2" s="1"/>
  <c r="D8" i="2"/>
  <c r="D11" i="2"/>
  <c r="D10" i="2"/>
  <c r="D9" i="2"/>
  <c r="D7" i="2"/>
  <c r="D14" i="2"/>
  <c r="C16" i="2"/>
  <c r="E125" i="2"/>
  <c r="E127" i="2" s="1"/>
  <c r="D125" i="2"/>
  <c r="C18" i="2"/>
  <c r="C19" i="2" s="1"/>
  <c r="D13" i="2"/>
  <c r="D43" i="2"/>
  <c r="E21" i="2"/>
  <c r="K96" i="1"/>
  <c r="L96" i="1"/>
  <c r="H96" i="1"/>
  <c r="D108" i="1" l="1"/>
  <c r="N107" i="1"/>
  <c r="M107" i="1"/>
  <c r="I107" i="1"/>
  <c r="C132" i="2"/>
  <c r="F139" i="2"/>
  <c r="E139" i="2" s="1"/>
  <c r="C131" i="2"/>
  <c r="F138" i="2"/>
  <c r="E138" i="2" s="1"/>
  <c r="D133" i="2"/>
  <c r="H140" i="2" s="1"/>
  <c r="G140" i="2" s="1"/>
  <c r="H138" i="2"/>
  <c r="G138" i="2" s="1"/>
  <c r="F125" i="2"/>
  <c r="C105" i="2"/>
  <c r="E105" i="2"/>
  <c r="D127" i="2"/>
  <c r="D105" i="2"/>
  <c r="D108" i="2"/>
  <c r="D109" i="2" s="1"/>
  <c r="F105" i="2"/>
  <c r="F108" i="2"/>
  <c r="F109" i="2" s="1"/>
  <c r="F8" i="2"/>
  <c r="F11" i="2"/>
  <c r="F9" i="2"/>
  <c r="F10" i="2"/>
  <c r="C24" i="2"/>
  <c r="C25" i="2" s="1"/>
  <c r="E19" i="2"/>
  <c r="F13" i="2"/>
  <c r="F7" i="2"/>
  <c r="F14" i="2"/>
  <c r="K97" i="1"/>
  <c r="L97" i="1"/>
  <c r="H97" i="1"/>
  <c r="M108" i="1" l="1"/>
  <c r="N108" i="1"/>
  <c r="I108" i="1"/>
  <c r="C133" i="2"/>
  <c r="F140" i="2"/>
  <c r="E140" i="2" s="1"/>
  <c r="F127" i="2"/>
  <c r="K98" i="1"/>
  <c r="L98" i="1"/>
  <c r="H98" i="1"/>
  <c r="D132" i="2" l="1"/>
  <c r="H139" i="2" s="1"/>
  <c r="G139" i="2" s="1"/>
  <c r="K99" i="1"/>
  <c r="L99" i="1"/>
  <c r="H99" i="1"/>
  <c r="K100" i="1" l="1"/>
  <c r="L100" i="1"/>
  <c r="H100" i="1"/>
  <c r="K101" i="1" l="1"/>
  <c r="L101" i="1"/>
  <c r="H101" i="1"/>
  <c r="K102" i="1" l="1"/>
  <c r="L102" i="1"/>
  <c r="H102" i="1"/>
  <c r="K103" i="1" l="1"/>
  <c r="L103" i="1"/>
  <c r="H103" i="1"/>
  <c r="K104" i="1" l="1"/>
  <c r="L104" i="1"/>
  <c r="H104" i="1"/>
  <c r="K105" i="1" l="1"/>
  <c r="L105" i="1"/>
  <c r="H105" i="1"/>
  <c r="K106" i="1" l="1"/>
  <c r="L106" i="1"/>
  <c r="H106" i="1"/>
  <c r="K107" i="1" l="1"/>
  <c r="L107" i="1"/>
  <c r="H107" i="1"/>
  <c r="K108" i="1" l="1"/>
  <c r="L108" i="1"/>
  <c r="H108" i="1"/>
  <c r="E25" i="2" l="1"/>
  <c r="F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NATHALIA ORTIZ</author>
    <author>Juan Marquez</author>
  </authors>
  <commentList>
    <comment ref="C6" authorId="0" shapeId="0" xr:uid="{EC4821B4-EA19-455E-88B6-B87EBF7299CF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Vida media de 12 años</t>
        </r>
      </text>
    </comment>
    <comment ref="A65" authorId="1" shapeId="0" xr:uid="{3B2C1D38-68AE-4C17-8541-54795CA09628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F66" authorId="1" shapeId="0" xr:uid="{E7B1DFE4-AB14-4CBE-AE43-128AEE0A6FC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En el aumento de la potencia contratada</t>
        </r>
      </text>
    </comment>
    <comment ref="A67" authorId="1" shapeId="0" xr:uid="{E97A1EA4-5852-4800-B3CC-85051452EC65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 </t>
        </r>
      </text>
    </comment>
    <comment ref="A70" authorId="1" shapeId="0" xr:uid="{282CE142-CAEF-468E-828E-CD7F4F0200D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</t>
        </r>
      </text>
    </comment>
    <comment ref="C78" authorId="0" shapeId="0" xr:uid="{294F9297-B0B4-4519-9931-D7E5C1ADDD47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Valle</t>
        </r>
      </text>
    </comment>
    <comment ref="D78" authorId="0" shapeId="0" xr:uid="{A275C763-14DF-4E19-B6B7-6ED82065CD83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'Llano'</t>
        </r>
      </text>
    </comment>
    <comment ref="E78" authorId="0" shapeId="0" xr:uid="{4672178F-C527-4F29-AD68-698A0F39A58D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F78" authorId="0" shapeId="0" xr:uid="{A47B27FD-15A0-4584-9BE5-8475D1737125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I78" authorId="0" shapeId="0" xr:uid="{CD1A7AAF-F517-4E12-93B2-451106ADBC40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inlcuyendo costo fijo</t>
        </r>
      </text>
    </comment>
    <comment ref="M78" authorId="0" shapeId="0" xr:uid="{6D5D72DA-21B8-406C-8102-2F6E8E3EE18D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inlcuyendo costo fijo</t>
        </r>
      </text>
    </comment>
    <comment ref="N78" authorId="0" shapeId="0" xr:uid="{2F149210-EFF2-492B-9C27-C3F980859520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inlcuyendo costo fijo</t>
        </r>
      </text>
    </comment>
  </commentList>
</comments>
</file>

<file path=xl/sharedStrings.xml><?xml version="1.0" encoding="utf-8"?>
<sst xmlns="http://schemas.openxmlformats.org/spreadsheetml/2006/main" count="515" uniqueCount="216">
  <si>
    <t>CAPEX</t>
  </si>
  <si>
    <t>USD</t>
  </si>
  <si>
    <t>L/100km</t>
  </si>
  <si>
    <t>USD/km</t>
  </si>
  <si>
    <t>BEB</t>
  </si>
  <si>
    <t>kWh/km</t>
  </si>
  <si>
    <t>%CAPEX</t>
  </si>
  <si>
    <t>USD/kWh</t>
  </si>
  <si>
    <t>kWh</t>
  </si>
  <si>
    <t>km</t>
  </si>
  <si>
    <t>days/year</t>
  </si>
  <si>
    <t>%</t>
  </si>
  <si>
    <t>USD/L</t>
  </si>
  <si>
    <t>https://www.xe.com/currencyconverter/convert/?Amount=1&amp;From=UYU&amp;To=USD</t>
  </si>
  <si>
    <t>tCO2/MWh</t>
  </si>
  <si>
    <t>gCO2e/km</t>
  </si>
  <si>
    <t>USD/tCO2e</t>
  </si>
  <si>
    <t>1- CAPEX</t>
  </si>
  <si>
    <t>2- ADMIN</t>
  </si>
  <si>
    <t>3- O&amp;M</t>
  </si>
  <si>
    <t>tCO2e</t>
  </si>
  <si>
    <t>WTW EURO 5</t>
  </si>
  <si>
    <t>ICE</t>
  </si>
  <si>
    <t>TOTAL</t>
  </si>
  <si>
    <t>KWh</t>
  </si>
  <si>
    <t>Gasolina Super</t>
  </si>
  <si>
    <t>e-LCV</t>
  </si>
  <si>
    <t>CAPEX e-LCV</t>
  </si>
  <si>
    <t>ICE LCV</t>
  </si>
  <si>
    <t>70% SOC</t>
  </si>
  <si>
    <t>https://www.energy.gov/sites/prod/files/2017/02/f34/67089%20EERE%20LIB%20cost%20vs%20price%20metrics%20r9.pdf</t>
  </si>
  <si>
    <t>CAPEX LCV</t>
  </si>
  <si>
    <t>MIEM (2018)</t>
  </si>
  <si>
    <t>VEHÍCULOS UTILITARIOS ELÉCTRICOS:
UNA INVERSIÓN RENTABLE</t>
  </si>
  <si>
    <t>https://www.renault.co.uk/electric-vehicles/kangoo-ze/engines.html</t>
  </si>
  <si>
    <t>MIEM 2018</t>
  </si>
  <si>
    <t>IMESI</t>
  </si>
  <si>
    <t>TGA</t>
  </si>
  <si>
    <t>Patente año 1</t>
  </si>
  <si>
    <t>BCU (2020)</t>
  </si>
  <si>
    <t>Patente año 2+</t>
  </si>
  <si>
    <t>CEPAL 2019</t>
  </si>
  <si>
    <t>USD/kW</t>
  </si>
  <si>
    <t>-</t>
  </si>
  <si>
    <t>10 L/100 km</t>
  </si>
  <si>
    <t>0.2 kWh/km</t>
  </si>
  <si>
    <t>Equity</t>
  </si>
  <si>
    <t>CTP LCVs</t>
  </si>
  <si>
    <t>Renault Kangoo</t>
  </si>
  <si>
    <t>Vida útil</t>
  </si>
  <si>
    <t>Eficiencia vehicular</t>
  </si>
  <si>
    <t>Uso de llantas</t>
  </si>
  <si>
    <t>Reparaciones y repuestos</t>
  </si>
  <si>
    <t>Costos de mantenimiento</t>
  </si>
  <si>
    <t>años</t>
  </si>
  <si>
    <t>Tamaño de la batería</t>
  </si>
  <si>
    <t>Vida útil del LCV</t>
  </si>
  <si>
    <t>Vida útil de la batería</t>
  </si>
  <si>
    <t>Parámetro</t>
  </si>
  <si>
    <t>Unidad</t>
  </si>
  <si>
    <t>Valor</t>
  </si>
  <si>
    <t>Fuente</t>
  </si>
  <si>
    <t>Carga e-LCV</t>
  </si>
  <si>
    <t>CAPEX vehículo</t>
  </si>
  <si>
    <t>CAPEX cargador</t>
  </si>
  <si>
    <t>Vida útil del cargador</t>
  </si>
  <si>
    <t>(0 reemplazos de batería) misma que la vida útil de la batería</t>
  </si>
  <si>
    <t>Reducción del costo de la batería 2020-2028</t>
  </si>
  <si>
    <t>Proyecciones del US DOE</t>
  </si>
  <si>
    <t>Reducción del costo de la batería 2020-2038</t>
  </si>
  <si>
    <t>2 - Datos de actividad</t>
  </si>
  <si>
    <t>Sensibilidad</t>
  </si>
  <si>
    <t>Kilómetros por año</t>
  </si>
  <si>
    <t>Total kilómetros ICE</t>
  </si>
  <si>
    <t>Total kilómetros BEV</t>
  </si>
  <si>
    <t>Días operativos por año</t>
  </si>
  <si>
    <t>Recorrido diario</t>
  </si>
  <si>
    <t>Consumo de energía diario</t>
  </si>
  <si>
    <t>km/año</t>
  </si>
  <si>
    <t>días/año</t>
  </si>
  <si>
    <t>Valor estándar</t>
  </si>
  <si>
    <t>Calculado</t>
  </si>
  <si>
    <t>Proporción de la financiación de la deuda</t>
  </si>
  <si>
    <t>Tenencia del préstamo</t>
  </si>
  <si>
    <t>Tasa de interés ICE</t>
  </si>
  <si>
    <t>Tasa de interés BEV</t>
  </si>
  <si>
    <t>Moneda local a USD</t>
  </si>
  <si>
    <t>3 - Costos de financiamiento</t>
  </si>
  <si>
    <t>4 - Costos de energía</t>
  </si>
  <si>
    <t>Potencia</t>
  </si>
  <si>
    <t>Gasolina</t>
  </si>
  <si>
    <t>5 - Impuestos</t>
  </si>
  <si>
    <t>Tasa consular</t>
  </si>
  <si>
    <t>IVA</t>
  </si>
  <si>
    <t>Proyección CAPEX</t>
  </si>
  <si>
    <t>Año</t>
  </si>
  <si>
    <t>FE red (tCO2/MWh)</t>
  </si>
  <si>
    <t>Costo de CO2e</t>
  </si>
  <si>
    <t>Emisiones totales ICE</t>
  </si>
  <si>
    <t>Emisiones totales BEV</t>
  </si>
  <si>
    <t>Costo Emisiones ICE</t>
  </si>
  <si>
    <t>Costo Emisiones BEV</t>
  </si>
  <si>
    <t>Sensibilidad Costos de emisión</t>
  </si>
  <si>
    <t>1 - Información del vehículo</t>
  </si>
  <si>
    <t>10% más de costo de los neumáticos debido a la diferencia de peso</t>
  </si>
  <si>
    <t>50% menos de mantenimiento</t>
  </si>
  <si>
    <t>20% menos de costo de reparación</t>
  </si>
  <si>
    <t>7.4kW, incluye instalación de caja de pared</t>
  </si>
  <si>
    <t>CAPEX cargador para casa</t>
  </si>
  <si>
    <t>CAPEX batería</t>
  </si>
  <si>
    <t>En general, kilometraje de menos del 50% de la autonomía máxima y, por lo tanto, necesidad limitada de carga pública</t>
  </si>
  <si>
    <t>Proporción de carga en casa</t>
  </si>
  <si>
    <t>Proporción de carga rápida pública</t>
  </si>
  <si>
    <t>Basado en ABB</t>
  </si>
  <si>
    <t>Baterías LFP</t>
  </si>
  <si>
    <t>%/año</t>
  </si>
  <si>
    <t>Mon. local/USD</t>
  </si>
  <si>
    <t>Electricidad - carga en casa</t>
  </si>
  <si>
    <t>Electricidad - cargador rápido público</t>
  </si>
  <si>
    <t>Electricidad</t>
  </si>
  <si>
    <t>LCV</t>
  </si>
  <si>
    <t>E-LCV</t>
  </si>
  <si>
    <t>CTP 2021</t>
  </si>
  <si>
    <t>Contribución</t>
  </si>
  <si>
    <t>Reemplazo de batería</t>
  </si>
  <si>
    <t>Costos de financiamiento</t>
  </si>
  <si>
    <t>Costo Energía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</si>
  <si>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</si>
  <si>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</si>
  <si>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</si>
  <si>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</si>
  <si>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</si>
  <si>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</si>
  <si>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</si>
  <si>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Subsidios (USD/bus)</t>
  </si>
  <si>
    <t>Reducción de impuestos (USD/bus)</t>
  </si>
  <si>
    <t>USD/año</t>
  </si>
  <si>
    <t>CTP 2021 (USD/km)</t>
  </si>
  <si>
    <t>Inversión de capital</t>
  </si>
  <si>
    <t>Préstamo</t>
  </si>
  <si>
    <t>Sensibilidad (+/- 20% de kilometraje anual)</t>
  </si>
  <si>
    <t>año</t>
  </si>
  <si>
    <t>% e-LCV/LCV gasolina</t>
  </si>
  <si>
    <t>LCV gasolina</t>
  </si>
  <si>
    <t>Patente</t>
  </si>
  <si>
    <t>5 - Emisiones</t>
  </si>
  <si>
    <t>Combustión</t>
  </si>
  <si>
    <t>Eléctrico</t>
  </si>
  <si>
    <t>Uso intensivo</t>
  </si>
  <si>
    <t>Uso bajo</t>
  </si>
  <si>
    <t>Combustión 
Uso intensivo</t>
  </si>
  <si>
    <t>Combustión
Uso bajo</t>
  </si>
  <si>
    <t>Eléctrico
Uso intensivo</t>
  </si>
  <si>
    <t>Eléctrico
Uso bajo</t>
  </si>
  <si>
    <t>Combustión 
Uso medio</t>
  </si>
  <si>
    <t>Eléctrico
Uso medio</t>
  </si>
  <si>
    <t>CAPEX infraestructura de carga</t>
  </si>
  <si>
    <t>Mantenimiento del vehículo</t>
  </si>
  <si>
    <t>Factor de uso</t>
  </si>
  <si>
    <t>Días operativos</t>
  </si>
  <si>
    <t>CAPEX LCV sin COMAP</t>
  </si>
  <si>
    <t>CAPEX LCV SIN COMAP</t>
  </si>
  <si>
    <t>Tipo de uso</t>
  </si>
  <si>
    <t>Kilometraje anual</t>
  </si>
  <si>
    <t>Bajo</t>
  </si>
  <si>
    <t>Medio</t>
  </si>
  <si>
    <t>Intensivo</t>
  </si>
  <si>
    <t>Vehículo eléctrico</t>
  </si>
  <si>
    <t>Vehículo a gasolina</t>
  </si>
  <si>
    <t>Potencia Cargador</t>
  </si>
  <si>
    <t>kW</t>
  </si>
  <si>
    <t>Aumento costo electricidad</t>
  </si>
  <si>
    <t>Sin embargo, se pueden incorporar agregando una tasa de crecimiento para cada uno</t>
  </si>
  <si>
    <t>Aumento cargo por potencia</t>
  </si>
  <si>
    <t>6 - Emisiones GEI</t>
  </si>
  <si>
    <t xml:space="preserve">CTP </t>
  </si>
  <si>
    <t>Aumento costo nafta</t>
  </si>
  <si>
    <t>Los cálculos se realizan sin considerar proyecciones de costo de los energéticos,</t>
  </si>
  <si>
    <t>los cargos por potencia y el cargo fijo mensual</t>
  </si>
  <si>
    <t>Aumento cargo fijo mensual</t>
  </si>
  <si>
    <t>(UYU/L)</t>
  </si>
  <si>
    <t>(USD/L)</t>
  </si>
  <si>
    <t>(UYU/kWh)</t>
  </si>
  <si>
    <t>(USD/kWh)</t>
  </si>
  <si>
    <t>Precio electricidad</t>
  </si>
  <si>
    <t>(UYU/kW)</t>
  </si>
  <si>
    <t>(USD/kW)</t>
  </si>
  <si>
    <t>Descuento del Plan de Movilidad Eléctrica (PME)</t>
  </si>
  <si>
    <t>Tarifa por potencia máxima medida</t>
  </si>
  <si>
    <t>Con descuento (PME)</t>
  </si>
  <si>
    <t>(UYU)</t>
  </si>
  <si>
    <t>(USD)</t>
  </si>
  <si>
    <t>Cargo fijo mensual</t>
  </si>
  <si>
    <t>Ancap 2022</t>
  </si>
  <si>
    <t>https://www.ute.com.uy/sites/default/files/docs/Pliego%20Tarifario%20Vigente%20desde%201%20de%20Enero%20de%202022.pdf</t>
  </si>
  <si>
    <t>Precio nafta</t>
  </si>
  <si>
    <t>Nafta</t>
  </si>
  <si>
    <t>Valle</t>
  </si>
  <si>
    <t>Llano</t>
  </si>
  <si>
    <t>Tasa de descuento</t>
  </si>
  <si>
    <t>Costos (VP)</t>
  </si>
  <si>
    <t>Total</t>
  </si>
  <si>
    <t>CAPEX con subsidio</t>
  </si>
  <si>
    <t>Cupo para taxi</t>
  </si>
  <si>
    <t>Factor de descuento</t>
  </si>
  <si>
    <t>Costos descontados</t>
  </si>
  <si>
    <t>Flujo de caja - LCVs</t>
  </si>
  <si>
    <t>VEHÍCULO A GASOLINA</t>
  </si>
  <si>
    <t>VEHÍCULO ELÉCTRICO</t>
  </si>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</sst>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#,##0.00"/>
    <numFmt numFmtId="169" formatCode="&quot;$&quot;#,##0.000"/>
    <numFmt numFmtId="170" formatCode="&quot;$&quot;\ #,##0"/>
    <numFmt numFmtId="171" formatCode="&quot;$&quot;\ #,##0.000"/>
    <numFmt numFmtId="172" formatCode="_-* #,##0.000_-;\-* #,##0.000_-;_-* &quot;-&quot;_-;_-@_-"/>
    <numFmt numFmtId="173" formatCode="0.0"/>
    <numFmt numFmtId="174" formatCode="&quot;$&quot;\ #,##0.00"/>
    <numFmt numFmtId="175" formatCode="_-&quot;$&quot;\ * #,##0.00_-;\-&quot;$&quot;\ * #,##0.00_-;_-&quot;$&quot;\ 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rgb="FF00B05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entury Gothic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0">
    <xf numFmtId="0" fontId="0" fillId="0" borderId="0" xfId="0"/>
    <xf numFmtId="0" fontId="4" fillId="5" borderId="0" xfId="0" applyFont="1" applyFill="1" applyAlignment="1">
      <alignment horizontal="center" vertical="center"/>
    </xf>
    <xf numFmtId="44" fontId="4" fillId="5" borderId="0" xfId="1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6" fillId="3" borderId="0" xfId="0" applyFont="1" applyFill="1" applyAlignment="1">
      <alignment horizontal="center" vertical="center"/>
    </xf>
    <xf numFmtId="0" fontId="8" fillId="0" borderId="0" xfId="0" applyFont="1"/>
    <xf numFmtId="0" fontId="9" fillId="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/>
    <xf numFmtId="1" fontId="4" fillId="5" borderId="0" xfId="1" applyNumberFormat="1" applyFont="1" applyFill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8" fillId="0" borderId="0" xfId="0" applyNumberFormat="1" applyFont="1"/>
    <xf numFmtId="1" fontId="4" fillId="0" borderId="0" xfId="0" applyNumberFormat="1" applyFont="1" applyFill="1" applyAlignment="1">
      <alignment horizontal="center" vertical="center"/>
    </xf>
    <xf numFmtId="0" fontId="8" fillId="0" borderId="0" xfId="0" applyFont="1" applyBorder="1"/>
    <xf numFmtId="0" fontId="4" fillId="8" borderId="0" xfId="0" applyFont="1" applyFill="1" applyAlignment="1">
      <alignment horizontal="center" vertical="center"/>
    </xf>
    <xf numFmtId="44" fontId="4" fillId="8" borderId="0" xfId="1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5" fillId="5" borderId="0" xfId="3" applyNumberFormat="1" applyFill="1" applyAlignment="1">
      <alignment horizontal="left" vertical="center" wrapText="1"/>
    </xf>
    <xf numFmtId="0" fontId="5" fillId="5" borderId="0" xfId="3" applyFill="1" applyAlignment="1">
      <alignment wrapText="1"/>
    </xf>
    <xf numFmtId="2" fontId="4" fillId="7" borderId="0" xfId="0" applyNumberFormat="1" applyFont="1" applyFill="1" applyAlignment="1">
      <alignment horizontal="center"/>
    </xf>
    <xf numFmtId="164" fontId="4" fillId="7" borderId="0" xfId="1" applyNumberFormat="1" applyFont="1" applyFill="1" applyAlignment="1">
      <alignment horizontal="center"/>
    </xf>
    <xf numFmtId="0" fontId="9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9" fillId="4" borderId="1" xfId="0" applyFont="1" applyFill="1" applyBorder="1"/>
    <xf numFmtId="0" fontId="9" fillId="4" borderId="2" xfId="0" applyFont="1" applyFill="1" applyBorder="1"/>
    <xf numFmtId="0" fontId="4" fillId="0" borderId="0" xfId="0" applyFont="1" applyFill="1"/>
    <xf numFmtId="0" fontId="9" fillId="4" borderId="0" xfId="0" applyFont="1" applyFill="1" applyBorder="1"/>
    <xf numFmtId="167" fontId="4" fillId="10" borderId="0" xfId="0" applyNumberFormat="1" applyFont="1" applyFill="1" applyBorder="1"/>
    <xf numFmtId="167" fontId="4" fillId="11" borderId="0" xfId="0" applyNumberFormat="1" applyFont="1" applyFill="1" applyBorder="1"/>
    <xf numFmtId="167" fontId="4" fillId="10" borderId="2" xfId="0" applyNumberFormat="1" applyFont="1" applyFill="1" applyBorder="1"/>
    <xf numFmtId="167" fontId="4" fillId="11" borderId="2" xfId="0" applyNumberFormat="1" applyFont="1" applyFill="1" applyBorder="1"/>
    <xf numFmtId="167" fontId="4" fillId="10" borderId="1" xfId="0" applyNumberFormat="1" applyFont="1" applyFill="1" applyBorder="1"/>
    <xf numFmtId="167" fontId="4" fillId="11" borderId="1" xfId="0" applyNumberFormat="1" applyFont="1" applyFill="1" applyBorder="1"/>
    <xf numFmtId="0" fontId="4" fillId="1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168" fontId="2" fillId="10" borderId="0" xfId="0" applyNumberFormat="1" applyFont="1" applyFill="1" applyBorder="1"/>
    <xf numFmtId="10" fontId="2" fillId="10" borderId="0" xfId="0" applyNumberFormat="1" applyFont="1" applyFill="1" applyBorder="1"/>
    <xf numFmtId="10" fontId="2" fillId="11" borderId="0" xfId="0" applyNumberFormat="1" applyFont="1" applyFill="1" applyBorder="1"/>
    <xf numFmtId="169" fontId="2" fillId="10" borderId="0" xfId="0" applyNumberFormat="1" applyFont="1" applyFill="1" applyBorder="1"/>
    <xf numFmtId="169" fontId="2" fillId="11" borderId="0" xfId="0" applyNumberFormat="1" applyFont="1" applyFill="1" applyBorder="1"/>
    <xf numFmtId="1" fontId="4" fillId="5" borderId="0" xfId="0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166" fontId="4" fillId="10" borderId="0" xfId="0" applyNumberFormat="1" applyFont="1" applyFill="1" applyBorder="1" applyAlignment="1">
      <alignment horizontal="center"/>
    </xf>
    <xf numFmtId="166" fontId="4" fillId="10" borderId="2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2" fillId="11" borderId="0" xfId="0" applyNumberFormat="1" applyFont="1" applyFill="1" applyBorder="1"/>
    <xf numFmtId="169" fontId="4" fillId="10" borderId="0" xfId="0" applyNumberFormat="1" applyFont="1" applyFill="1" applyBorder="1"/>
    <xf numFmtId="169" fontId="4" fillId="10" borderId="2" xfId="0" applyNumberFormat="1" applyFont="1" applyFill="1" applyBorder="1"/>
    <xf numFmtId="169" fontId="4" fillId="10" borderId="1" xfId="0" applyNumberFormat="1" applyFont="1" applyFill="1" applyBorder="1"/>
    <xf numFmtId="169" fontId="4" fillId="10" borderId="4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6" fillId="12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69" fontId="2" fillId="0" borderId="0" xfId="0" applyNumberFormat="1" applyFont="1" applyFill="1" applyBorder="1"/>
    <xf numFmtId="167" fontId="4" fillId="0" borderId="0" xfId="0" applyNumberFormat="1" applyFont="1"/>
    <xf numFmtId="9" fontId="8" fillId="0" borderId="0" xfId="0" applyNumberFormat="1" applyFont="1" applyAlignment="1"/>
    <xf numFmtId="0" fontId="8" fillId="0" borderId="0" xfId="0" applyFont="1" applyAlignment="1"/>
    <xf numFmtId="0" fontId="4" fillId="9" borderId="0" xfId="0" applyFont="1" applyFill="1"/>
    <xf numFmtId="0" fontId="6" fillId="9" borderId="0" xfId="0" applyFont="1" applyFill="1"/>
    <xf numFmtId="10" fontId="4" fillId="11" borderId="6" xfId="0" applyNumberFormat="1" applyFont="1" applyFill="1" applyBorder="1"/>
    <xf numFmtId="10" fontId="4" fillId="11" borderId="8" xfId="0" applyNumberFormat="1" applyFont="1" applyFill="1" applyBorder="1"/>
    <xf numFmtId="10" fontId="4" fillId="11" borderId="10" xfId="0" applyNumberFormat="1" applyFont="1" applyFill="1" applyBorder="1"/>
    <xf numFmtId="0" fontId="13" fillId="0" borderId="0" xfId="0" applyFont="1" applyFill="1" applyBorder="1" applyAlignment="1">
      <alignment horizontal="right"/>
    </xf>
    <xf numFmtId="167" fontId="14" fillId="0" borderId="0" xfId="0" applyNumberFormat="1" applyFont="1"/>
    <xf numFmtId="0" fontId="9" fillId="2" borderId="11" xfId="0" applyFont="1" applyFill="1" applyBorder="1" applyAlignment="1">
      <alignment horizontal="center" vertical="center"/>
    </xf>
    <xf numFmtId="0" fontId="9" fillId="4" borderId="12" xfId="0" applyFont="1" applyFill="1" applyBorder="1"/>
    <xf numFmtId="167" fontId="4" fillId="10" borderId="12" xfId="0" applyNumberFormat="1" applyFont="1" applyFill="1" applyBorder="1"/>
    <xf numFmtId="10" fontId="4" fillId="10" borderId="12" xfId="0" applyNumberFormat="1" applyFont="1" applyFill="1" applyBorder="1"/>
    <xf numFmtId="167" fontId="4" fillId="11" borderId="12" xfId="0" applyNumberFormat="1" applyFont="1" applyFill="1" applyBorder="1"/>
    <xf numFmtId="10" fontId="4" fillId="11" borderId="13" xfId="0" applyNumberFormat="1" applyFont="1" applyFill="1" applyBorder="1"/>
    <xf numFmtId="0" fontId="9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0" fontId="4" fillId="11" borderId="1" xfId="1" applyNumberFormat="1" applyFont="1" applyFill="1" applyBorder="1"/>
    <xf numFmtId="170" fontId="4" fillId="11" borderId="0" xfId="1" applyNumberFormat="1" applyFont="1" applyFill="1" applyBorder="1"/>
    <xf numFmtId="170" fontId="4" fillId="11" borderId="2" xfId="1" applyNumberFormat="1" applyFont="1" applyFill="1" applyBorder="1"/>
    <xf numFmtId="169" fontId="4" fillId="11" borderId="3" xfId="0" applyNumberFormat="1" applyFont="1" applyFill="1" applyBorder="1"/>
    <xf numFmtId="169" fontId="4" fillId="11" borderId="0" xfId="0" applyNumberFormat="1" applyFont="1" applyFill="1" applyBorder="1"/>
    <xf numFmtId="169" fontId="4" fillId="11" borderId="2" xfId="0" applyNumberFormat="1" applyFont="1" applyFill="1" applyBorder="1"/>
    <xf numFmtId="169" fontId="4" fillId="11" borderId="1" xfId="0" applyNumberFormat="1" applyFont="1" applyFill="1" applyBorder="1"/>
    <xf numFmtId="169" fontId="4" fillId="11" borderId="4" xfId="0" applyNumberFormat="1" applyFont="1" applyFill="1" applyBorder="1"/>
    <xf numFmtId="0" fontId="4" fillId="0" borderId="0" xfId="0" applyFont="1" applyAlignment="1">
      <alignment horizontal="right"/>
    </xf>
    <xf numFmtId="169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5" borderId="0" xfId="0" applyNumberFormat="1" applyFont="1" applyFill="1" applyBorder="1"/>
    <xf numFmtId="170" fontId="4" fillId="15" borderId="0" xfId="1" applyNumberFormat="1" applyFont="1" applyFill="1" applyBorder="1"/>
    <xf numFmtId="4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1" fontId="10" fillId="5" borderId="0" xfId="0" applyNumberFormat="1" applyFont="1" applyFill="1" applyAlignment="1">
      <alignment horizontal="center" vertical="center" wrapText="1"/>
    </xf>
    <xf numFmtId="167" fontId="4" fillId="15" borderId="2" xfId="0" applyNumberFormat="1" applyFont="1" applyFill="1" applyBorder="1"/>
    <xf numFmtId="0" fontId="5" fillId="0" borderId="0" xfId="3"/>
    <xf numFmtId="1" fontId="8" fillId="0" borderId="0" xfId="0" applyNumberFormat="1" applyFont="1"/>
    <xf numFmtId="0" fontId="5" fillId="5" borderId="8" xfId="3" applyFill="1" applyBorder="1" applyAlignment="1">
      <alignment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5" fillId="5" borderId="0" xfId="3" applyFill="1" applyAlignment="1">
      <alignment horizontal="center" vertical="center"/>
    </xf>
    <xf numFmtId="0" fontId="5" fillId="5" borderId="8" xfId="3" applyFill="1" applyBorder="1" applyAlignment="1">
      <alignment horizontal="center" wrapText="1"/>
    </xf>
    <xf numFmtId="166" fontId="4" fillId="8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0" fontId="4" fillId="8" borderId="0" xfId="0" applyNumberFormat="1" applyFont="1" applyFill="1" applyAlignment="1">
      <alignment horizontal="center" vertical="center"/>
    </xf>
    <xf numFmtId="170" fontId="2" fillId="11" borderId="0" xfId="1" applyNumberFormat="1" applyFont="1" applyFill="1" applyBorder="1"/>
    <xf numFmtId="168" fontId="2" fillId="10" borderId="0" xfId="0" applyNumberFormat="1" applyFont="1" applyFill="1"/>
    <xf numFmtId="10" fontId="16" fillId="10" borderId="0" xfId="0" applyNumberFormat="1" applyFont="1" applyFill="1"/>
    <xf numFmtId="10" fontId="16" fillId="11" borderId="0" xfId="0" applyNumberFormat="1" applyFont="1" applyFill="1"/>
    <xf numFmtId="164" fontId="4" fillId="5" borderId="0" xfId="1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167" fontId="4" fillId="0" borderId="0" xfId="1" applyNumberFormat="1" applyFont="1"/>
    <xf numFmtId="2" fontId="2" fillId="0" borderId="0" xfId="0" applyNumberFormat="1" applyFont="1" applyFill="1" applyBorder="1"/>
    <xf numFmtId="9" fontId="4" fillId="0" borderId="0" xfId="2" applyFont="1" applyFill="1"/>
    <xf numFmtId="9" fontId="4" fillId="0" borderId="0" xfId="0" applyNumberFormat="1" applyFont="1" applyFill="1"/>
    <xf numFmtId="41" fontId="4" fillId="0" borderId="0" xfId="4" applyFont="1" applyFill="1" applyBorder="1"/>
    <xf numFmtId="169" fontId="2" fillId="16" borderId="0" xfId="0" applyNumberFormat="1" applyFont="1" applyFill="1" applyBorder="1"/>
    <xf numFmtId="172" fontId="2" fillId="11" borderId="0" xfId="4" applyNumberFormat="1" applyFont="1" applyFill="1" applyBorder="1"/>
    <xf numFmtId="0" fontId="5" fillId="5" borderId="0" xfId="3" applyFill="1" applyAlignment="1">
      <alignment horizontal="left" vertical="center"/>
    </xf>
    <xf numFmtId="0" fontId="4" fillId="10" borderId="0" xfId="0" applyFont="1" applyFill="1" applyAlignment="1">
      <alignment horizontal="center" vertical="center" wrapText="1"/>
    </xf>
    <xf numFmtId="0" fontId="9" fillId="4" borderId="0" xfId="0" applyFont="1" applyFill="1"/>
    <xf numFmtId="1" fontId="4" fillId="8" borderId="0" xfId="2" applyNumberFormat="1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5" borderId="0" xfId="0" applyFont="1" applyFill="1" applyAlignment="1">
      <alignment horizontal="left" vertical="center" wrapText="1"/>
    </xf>
    <xf numFmtId="167" fontId="2" fillId="10" borderId="0" xfId="0" applyNumberFormat="1" applyFont="1" applyFill="1" applyBorder="1"/>
    <xf numFmtId="171" fontId="2" fillId="17" borderId="0" xfId="1" applyNumberFormat="1" applyFont="1" applyFill="1" applyBorder="1"/>
    <xf numFmtId="0" fontId="6" fillId="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170" fontId="2" fillId="18" borderId="14" xfId="0" applyNumberFormat="1" applyFont="1" applyFill="1" applyBorder="1" applyAlignment="1">
      <alignment horizontal="center" vertical="center" wrapText="1"/>
    </xf>
    <xf numFmtId="171" fontId="2" fillId="18" borderId="14" xfId="0" applyNumberFormat="1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170" fontId="2" fillId="19" borderId="14" xfId="0" applyNumberFormat="1" applyFont="1" applyFill="1" applyBorder="1" applyAlignment="1">
      <alignment horizontal="center" vertical="center" wrapText="1"/>
    </xf>
    <xf numFmtId="171" fontId="2" fillId="19" borderId="14" xfId="0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170" fontId="2" fillId="20" borderId="14" xfId="0" applyNumberFormat="1" applyFont="1" applyFill="1" applyBorder="1" applyAlignment="1">
      <alignment horizontal="center" vertical="center" wrapText="1"/>
    </xf>
    <xf numFmtId="171" fontId="2" fillId="20" borderId="14" xfId="0" applyNumberFormat="1" applyFont="1" applyFill="1" applyBorder="1" applyAlignment="1">
      <alignment horizontal="center" vertical="center" wrapText="1"/>
    </xf>
    <xf numFmtId="44" fontId="8" fillId="0" borderId="0" xfId="0" applyNumberFormat="1" applyFont="1"/>
    <xf numFmtId="0" fontId="4" fillId="5" borderId="0" xfId="0" applyFont="1" applyFill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13" fillId="0" borderId="15" xfId="0" applyFont="1" applyBorder="1"/>
    <xf numFmtId="166" fontId="4" fillId="8" borderId="3" xfId="2" applyNumberFormat="1" applyFont="1" applyFill="1" applyBorder="1" applyAlignment="1">
      <alignment horizontal="center" vertical="center"/>
    </xf>
    <xf numFmtId="2" fontId="8" fillId="0" borderId="3" xfId="0" applyNumberFormat="1" applyFont="1" applyBorder="1"/>
    <xf numFmtId="0" fontId="8" fillId="0" borderId="3" xfId="0" applyFont="1" applyBorder="1"/>
    <xf numFmtId="0" fontId="8" fillId="0" borderId="16" xfId="0" applyFont="1" applyBorder="1"/>
    <xf numFmtId="0" fontId="13" fillId="0" borderId="17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0" fontId="8" fillId="0" borderId="18" xfId="0" applyFont="1" applyBorder="1"/>
    <xf numFmtId="0" fontId="13" fillId="0" borderId="19" xfId="0" applyFont="1" applyBorder="1"/>
    <xf numFmtId="166" fontId="4" fillId="8" borderId="4" xfId="2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20" xfId="0" applyFont="1" applyBorder="1"/>
    <xf numFmtId="174" fontId="4" fillId="8" borderId="0" xfId="1" applyNumberFormat="1" applyFont="1" applyFill="1" applyAlignment="1">
      <alignment horizontal="center" vertical="center"/>
    </xf>
    <xf numFmtId="2" fontId="4" fillId="15" borderId="0" xfId="0" applyNumberFormat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44" fontId="4" fillId="15" borderId="0" xfId="1" applyFont="1" applyFill="1" applyAlignment="1">
      <alignment horizontal="center" vertical="center"/>
    </xf>
    <xf numFmtId="175" fontId="4" fillId="15" borderId="0" xfId="5" applyNumberFormat="1" applyFont="1" applyFill="1" applyAlignment="1">
      <alignment horizontal="center" vertical="center"/>
    </xf>
    <xf numFmtId="173" fontId="4" fillId="15" borderId="0" xfId="1" applyNumberFormat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41" fontId="4" fillId="6" borderId="0" xfId="4" applyFont="1" applyFill="1" applyAlignment="1">
      <alignment horizontal="center" vertical="center"/>
    </xf>
    <xf numFmtId="10" fontId="4" fillId="8" borderId="0" xfId="2" applyNumberFormat="1" applyFont="1" applyFill="1" applyAlignment="1">
      <alignment horizontal="center" vertical="center"/>
    </xf>
    <xf numFmtId="0" fontId="13" fillId="0" borderId="0" xfId="0" applyFont="1" applyBorder="1"/>
    <xf numFmtId="2" fontId="8" fillId="0" borderId="0" xfId="0" applyNumberFormat="1" applyFont="1"/>
    <xf numFmtId="0" fontId="8" fillId="0" borderId="15" xfId="0" applyFont="1" applyBorder="1"/>
    <xf numFmtId="0" fontId="8" fillId="0" borderId="3" xfId="0" applyFont="1" applyBorder="1" applyAlignment="1">
      <alignment horizontal="center"/>
    </xf>
    <xf numFmtId="175" fontId="8" fillId="8" borderId="0" xfId="5" applyNumberFormat="1" applyFont="1" applyFill="1" applyBorder="1"/>
    <xf numFmtId="175" fontId="8" fillId="0" borderId="0" xfId="5" applyNumberFormat="1" applyFont="1" applyBorder="1"/>
    <xf numFmtId="0" fontId="8" fillId="0" borderId="0" xfId="0" applyFont="1" applyAlignment="1">
      <alignment horizontal="center"/>
    </xf>
    <xf numFmtId="175" fontId="4" fillId="8" borderId="0" xfId="5" applyNumberFormat="1" applyFont="1" applyFill="1" applyBorder="1" applyAlignment="1">
      <alignment horizontal="center" vertical="center"/>
    </xf>
    <xf numFmtId="175" fontId="4" fillId="8" borderId="4" xfId="5" applyNumberFormat="1" applyFont="1" applyFill="1" applyBorder="1" applyAlignment="1">
      <alignment horizontal="center" vertical="center"/>
    </xf>
    <xf numFmtId="175" fontId="8" fillId="0" borderId="4" xfId="5" applyNumberFormat="1" applyFont="1" applyBorder="1"/>
    <xf numFmtId="0" fontId="8" fillId="0" borderId="0" xfId="0" applyFont="1" applyBorder="1" applyAlignment="1">
      <alignment horizontal="center"/>
    </xf>
    <xf numFmtId="9" fontId="8" fillId="8" borderId="0" xfId="0" applyNumberFormat="1" applyFont="1" applyFill="1" applyBorder="1"/>
    <xf numFmtId="2" fontId="21" fillId="21" borderId="0" xfId="0" quotePrefix="1" applyNumberFormat="1" applyFont="1" applyFill="1" applyAlignment="1">
      <alignment horizontal="left" vertical="center" wrapText="1"/>
    </xf>
    <xf numFmtId="164" fontId="8" fillId="0" borderId="0" xfId="0" applyNumberFormat="1" applyFont="1"/>
    <xf numFmtId="0" fontId="20" fillId="12" borderId="0" xfId="0" applyFont="1" applyFill="1"/>
    <xf numFmtId="0" fontId="20" fillId="12" borderId="7" xfId="0" applyFont="1" applyFill="1" applyBorder="1"/>
    <xf numFmtId="0" fontId="18" fillId="12" borderId="0" xfId="0" applyFont="1" applyFill="1"/>
    <xf numFmtId="0" fontId="23" fillId="0" borderId="0" xfId="0" applyFont="1"/>
    <xf numFmtId="0" fontId="24" fillId="0" borderId="0" xfId="0" applyFont="1"/>
    <xf numFmtId="166" fontId="0" fillId="10" borderId="14" xfId="2" applyNumberFormat="1" applyFont="1" applyFill="1" applyBorder="1"/>
    <xf numFmtId="0" fontId="19" fillId="0" borderId="0" xfId="0" applyFont="1"/>
    <xf numFmtId="1" fontId="0" fillId="23" borderId="0" xfId="0" applyNumberFormat="1" applyFill="1"/>
    <xf numFmtId="3" fontId="0" fillId="0" borderId="0" xfId="0" applyNumberFormat="1"/>
    <xf numFmtId="1" fontId="18" fillId="3" borderId="0" xfId="0" applyNumberFormat="1" applyFont="1" applyFill="1"/>
    <xf numFmtId="0" fontId="18" fillId="3" borderId="0" xfId="0" applyFont="1" applyFill="1"/>
    <xf numFmtId="166" fontId="27" fillId="0" borderId="0" xfId="2" applyNumberFormat="1" applyFont="1"/>
    <xf numFmtId="42" fontId="0" fillId="24" borderId="5" xfId="5" applyFont="1" applyFill="1" applyBorder="1"/>
    <xf numFmtId="42" fontId="0" fillId="24" borderId="1" xfId="5" applyFont="1" applyFill="1" applyBorder="1"/>
    <xf numFmtId="42" fontId="0" fillId="24" borderId="6" xfId="5" applyFont="1" applyFill="1" applyBorder="1"/>
    <xf numFmtId="42" fontId="0" fillId="24" borderId="21" xfId="5" applyFont="1" applyFill="1" applyBorder="1"/>
    <xf numFmtId="42" fontId="0" fillId="24" borderId="9" xfId="5" applyFont="1" applyFill="1" applyBorder="1"/>
    <xf numFmtId="42" fontId="0" fillId="24" borderId="2" xfId="5" applyFont="1" applyFill="1" applyBorder="1"/>
    <xf numFmtId="42" fontId="0" fillId="24" borderId="10" xfId="5" applyFont="1" applyFill="1" applyBorder="1"/>
    <xf numFmtId="42" fontId="0" fillId="24" borderId="22" xfId="5" applyFont="1" applyFill="1" applyBorder="1"/>
    <xf numFmtId="42" fontId="0" fillId="24" borderId="7" xfId="5" applyFont="1" applyFill="1" applyBorder="1"/>
    <xf numFmtId="42" fontId="0" fillId="24" borderId="0" xfId="5" applyFont="1" applyFill="1" applyBorder="1"/>
    <xf numFmtId="42" fontId="0" fillId="24" borderId="8" xfId="5" applyFont="1" applyFill="1" applyBorder="1"/>
    <xf numFmtId="42" fontId="0" fillId="24" borderId="23" xfId="5" applyFont="1" applyFill="1" applyBorder="1"/>
    <xf numFmtId="6" fontId="0" fillId="24" borderId="9" xfId="5" applyNumberFormat="1" applyFont="1" applyFill="1" applyBorder="1"/>
    <xf numFmtId="6" fontId="0" fillId="24" borderId="2" xfId="5" applyNumberFormat="1" applyFont="1" applyFill="1" applyBorder="1"/>
    <xf numFmtId="6" fontId="0" fillId="24" borderId="11" xfId="5" applyNumberFormat="1" applyFont="1" applyFill="1" applyBorder="1"/>
    <xf numFmtId="6" fontId="0" fillId="24" borderId="12" xfId="5" applyNumberFormat="1" applyFont="1" applyFill="1" applyBorder="1"/>
    <xf numFmtId="42" fontId="0" fillId="24" borderId="12" xfId="5" applyFont="1" applyFill="1" applyBorder="1"/>
    <xf numFmtId="42" fontId="0" fillId="24" borderId="13" xfId="5" applyFont="1" applyFill="1" applyBorder="1"/>
    <xf numFmtId="42" fontId="20" fillId="3" borderId="0" xfId="5" applyFont="1" applyFill="1" applyBorder="1"/>
    <xf numFmtId="42" fontId="20" fillId="3" borderId="0" xfId="5" applyFont="1" applyFill="1"/>
    <xf numFmtId="0" fontId="27" fillId="0" borderId="0" xfId="2" applyNumberFormat="1" applyFont="1"/>
    <xf numFmtId="1" fontId="28" fillId="0" borderId="0" xfId="0" applyNumberFormat="1" applyFont="1"/>
    <xf numFmtId="2" fontId="0" fillId="10" borderId="0" xfId="0" applyNumberFormat="1" applyFill="1"/>
    <xf numFmtId="166" fontId="29" fillId="0" borderId="0" xfId="2" applyNumberFormat="1" applyFont="1"/>
    <xf numFmtId="42" fontId="0" fillId="11" borderId="5" xfId="5" applyFont="1" applyFill="1" applyBorder="1"/>
    <xf numFmtId="42" fontId="0" fillId="11" borderId="1" xfId="5" applyFont="1" applyFill="1" applyBorder="1"/>
    <xf numFmtId="42" fontId="0" fillId="11" borderId="6" xfId="5" applyFont="1" applyFill="1" applyBorder="1"/>
    <xf numFmtId="42" fontId="0" fillId="11" borderId="21" xfId="5" applyFont="1" applyFill="1" applyBorder="1"/>
    <xf numFmtId="42" fontId="0" fillId="11" borderId="9" xfId="5" applyFont="1" applyFill="1" applyBorder="1"/>
    <xf numFmtId="42" fontId="0" fillId="11" borderId="2" xfId="5" applyFont="1" applyFill="1" applyBorder="1"/>
    <xf numFmtId="42" fontId="0" fillId="11" borderId="10" xfId="5" applyFont="1" applyFill="1" applyBorder="1"/>
    <xf numFmtId="42" fontId="0" fillId="11" borderId="23" xfId="5" applyFont="1" applyFill="1" applyBorder="1"/>
    <xf numFmtId="42" fontId="0" fillId="11" borderId="7" xfId="5" applyFont="1" applyFill="1" applyBorder="1"/>
    <xf numFmtId="42" fontId="0" fillId="11" borderId="0" xfId="5" applyFont="1" applyFill="1" applyBorder="1"/>
    <xf numFmtId="42" fontId="0" fillId="11" borderId="8" xfId="5" applyFont="1" applyFill="1" applyBorder="1"/>
    <xf numFmtId="42" fontId="0" fillId="11" borderId="22" xfId="5" applyFont="1" applyFill="1" applyBorder="1"/>
    <xf numFmtId="42" fontId="0" fillId="11" borderId="11" xfId="5" applyFont="1" applyFill="1" applyBorder="1"/>
    <xf numFmtId="42" fontId="0" fillId="11" borderId="12" xfId="5" applyFont="1" applyFill="1" applyBorder="1"/>
    <xf numFmtId="42" fontId="0" fillId="11" borderId="13" xfId="5" applyFont="1" applyFill="1" applyBorder="1"/>
    <xf numFmtId="42" fontId="20" fillId="25" borderId="0" xfId="5" applyFont="1" applyFill="1" applyBorder="1"/>
    <xf numFmtId="42" fontId="20" fillId="25" borderId="0" xfId="5" applyFont="1" applyFill="1"/>
    <xf numFmtId="3" fontId="0" fillId="0" borderId="0" xfId="0" applyNumberFormat="1" applyBorder="1"/>
    <xf numFmtId="0" fontId="6" fillId="14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/>
    </xf>
    <xf numFmtId="0" fontId="4" fillId="5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1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26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25" fillId="0" borderId="14" xfId="0" applyFont="1" applyBorder="1" applyAlignment="1">
      <alignment horizontal="center"/>
    </xf>
    <xf numFmtId="0" fontId="18" fillId="22" borderId="0" xfId="0" applyFont="1" applyFill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8" borderId="17" xfId="0" applyFont="1" applyFill="1" applyBorder="1"/>
    <xf numFmtId="0" fontId="2" fillId="27" borderId="17" xfId="0" applyFont="1" applyFill="1" applyBorder="1"/>
    <xf numFmtId="0" fontId="2" fillId="28" borderId="17" xfId="0" applyFont="1" applyFill="1" applyBorder="1"/>
    <xf numFmtId="0" fontId="2" fillId="0" borderId="19" xfId="0" applyFont="1" applyBorder="1"/>
    <xf numFmtId="0" fontId="2" fillId="0" borderId="4" xfId="0" applyFont="1" applyBorder="1"/>
    <xf numFmtId="0" fontId="2" fillId="0" borderId="20" xfId="0" applyFont="1" applyBorder="1"/>
  </cellXfs>
  <cellStyles count="6">
    <cellStyle name="Hipervínculo" xfId="3" builtinId="8"/>
    <cellStyle name="Millares [0]" xfId="4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5B5B"/>
      <color rgb="FFB4DE86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CTP!$B$4</c:f>
              <c:strCache>
                <c:ptCount val="1"/>
                <c:pt idx="0">
                  <c:v>CAPEX LCV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(CTP!$C$4,CTP!$E$4)</c:f>
              <c:numCache>
                <c:formatCode>"$"#,##0</c:formatCode>
                <c:ptCount val="2"/>
                <c:pt idx="0">
                  <c:v>12500</c:v>
                </c:pt>
                <c:pt idx="1">
                  <c:v>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CTP!$B$6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(CTP!$C$6,CTP!$E$6)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F-404E-8786-59ABDA577404}"/>
            </c:ext>
          </c:extLst>
        </c:ser>
        <c:ser>
          <c:idx val="5"/>
          <c:order val="3"/>
          <c:tx>
            <c:strRef>
              <c:f>CTP!$B$7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BF-404E-8786-59ABDA577404}"/>
              </c:ext>
            </c:extLst>
          </c:dPt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(CTP!$C$7,CTP!$E$7)</c:f>
              <c:numCache>
                <c:formatCode>"$"#,##0</c:formatCode>
                <c:ptCount val="2"/>
                <c:pt idx="0">
                  <c:v>625</c:v>
                </c:pt>
                <c:pt idx="1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3"/>
          <c:order val="4"/>
          <c:tx>
            <c:strRef>
              <c:f>CTP!$B$8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(CTP!$C$8,CTP!$E$8)</c:f>
              <c:numCache>
                <c:formatCode>"$"#,##0</c:formatCode>
                <c:ptCount val="2"/>
                <c:pt idx="0">
                  <c:v>2875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9-4996-89B8-F37A7E60CEC9}"/>
            </c:ext>
          </c:extLst>
        </c:ser>
        <c:ser>
          <c:idx val="4"/>
          <c:order val="5"/>
          <c:tx>
            <c:strRef>
              <c:f>CTP!$B$9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(CTP!$C$9,CTP!$E$9)</c:f>
              <c:numCache>
                <c:formatCode>"$"#,##0</c:formatCode>
                <c:ptCount val="2"/>
                <c:pt idx="0">
                  <c:v>2750</c:v>
                </c:pt>
                <c:pt idx="1">
                  <c:v>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B9-4996-89B8-F37A7E60CEC9}"/>
            </c:ext>
          </c:extLst>
        </c:ser>
        <c:ser>
          <c:idx val="6"/>
          <c:order val="6"/>
          <c:tx>
            <c:strRef>
              <c:f>CTP!$B$10</c:f>
              <c:strCache>
                <c:ptCount val="1"/>
                <c:pt idx="0">
                  <c:v>IMESI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(CTP!$C$10,CTP!$E$10)</c:f>
              <c:numCache>
                <c:formatCode>"$"#,##0</c:formatCode>
                <c:ptCount val="2"/>
                <c:pt idx="0">
                  <c:v>3775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9"/>
          <c:order val="7"/>
          <c:tx>
            <c:strRef>
              <c:f>CTP!$B$11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(CTP!$C$11,CTP!$E$11)</c:f>
              <c:numCache>
                <c:formatCode>"$"#,##0</c:formatCode>
                <c:ptCount val="2"/>
                <c:pt idx="0">
                  <c:v>4562.5</c:v>
                </c:pt>
                <c:pt idx="1">
                  <c:v>6120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B9-4996-89B8-F37A7E60CEC9}"/>
            </c:ext>
          </c:extLst>
        </c:ser>
        <c:ser>
          <c:idx val="7"/>
          <c:order val="8"/>
          <c:tx>
            <c:strRef>
              <c:f>CTP!$B$12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3203.5253578418578</c:v>
                </c:pt>
                <c:pt idx="1">
                  <c:v>5505.4386046048166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9"/>
          <c:tx>
            <c:strRef>
              <c:f>CTP!$B$13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9600</c:v>
                </c:pt>
                <c:pt idx="1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10"/>
          <c:tx>
            <c:strRef>
              <c:f>CTP!$B$14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(CTP!$C$14,CTP!$E$14)</c:f>
              <c:numCache>
                <c:formatCode>"$"#,##0</c:formatCode>
                <c:ptCount val="2"/>
                <c:pt idx="0">
                  <c:v>41333.759999999987</c:v>
                </c:pt>
                <c:pt idx="1">
                  <c:v>4031.8080000000004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1"/>
          <c:tx>
            <c:strRef>
              <c:f>CTP!$B$17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(CTP!$C$17,CTP!$E$17)</c:f>
              <c:numCache>
                <c:formatCode>"$"#,##0</c:formatCode>
                <c:ptCount val="2"/>
                <c:pt idx="0">
                  <c:v>2467.1999999999998</c:v>
                </c:pt>
                <c:pt idx="1">
                  <c:v>52.992000000000004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CTP!$B$33</c:f>
              <c:strCache>
                <c:ptCount val="1"/>
                <c:pt idx="0">
                  <c:v>CAPEX LCV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CTP!$C$33:$D$33</c:f>
              <c:numCache>
                <c:formatCode>"$"#,##0.000</c:formatCode>
                <c:ptCount val="2"/>
                <c:pt idx="0">
                  <c:v>5.2083333333333336E-2</c:v>
                </c:pt>
                <c:pt idx="1">
                  <c:v>0.14166666666666666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CTP!$B$34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CTP!$C$34:$D$34</c:f>
              <c:numCache>
                <c:formatCode>"$"#,##0.000</c:formatCode>
                <c:ptCount val="2"/>
                <c:pt idx="0">
                  <c:v>0</c:v>
                </c:pt>
                <c:pt idx="1">
                  <c:v>8.3333333333333332E-3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CTP!$B$6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(CTP!$C$35,CTP!$D$35)</c:f>
              <c:numCache>
                <c:formatCode>"$"#,##0.000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A-4431-8426-3B41A0007A92}"/>
            </c:ext>
          </c:extLst>
        </c:ser>
        <c:ser>
          <c:idx val="5"/>
          <c:order val="3"/>
          <c:tx>
            <c:strRef>
              <c:f>CTP!$B$36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CTP!$C$36:$D$36</c:f>
              <c:numCache>
                <c:formatCode>"$"#,##0.000</c:formatCode>
                <c:ptCount val="2"/>
                <c:pt idx="0">
                  <c:v>2.6041666666666665E-3</c:v>
                </c:pt>
                <c:pt idx="1">
                  <c:v>7.083333333333333E-3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6"/>
          <c:order val="4"/>
          <c:tx>
            <c:strRef>
              <c:f>CTP!$B$37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1.1979166666666667E-2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3"/>
          <c:order val="5"/>
          <c:tx>
            <c:strRef>
              <c:f>CTP!$B$38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(CTP!$C$38,CTP!$D$38)</c:f>
              <c:numCache>
                <c:formatCode>"$"#,##0.000</c:formatCode>
                <c:ptCount val="2"/>
                <c:pt idx="0">
                  <c:v>1.1458333333333333E-2</c:v>
                </c:pt>
                <c:pt idx="1">
                  <c:v>3.1166666666666665E-2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2-4F43-9E1D-A20C2E2C5322}"/>
            </c:ext>
          </c:extLst>
        </c:ser>
        <c:ser>
          <c:idx val="4"/>
          <c:order val="6"/>
          <c:tx>
            <c:strRef>
              <c:f>CTP!$B$39</c:f>
              <c:strCache>
                <c:ptCount val="1"/>
                <c:pt idx="0">
                  <c:v>IMESI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(CTP!$C$39,CTP!$D$39)</c:f>
              <c:numCache>
                <c:formatCode>"$"#,##0.000</c:formatCode>
                <c:ptCount val="2"/>
                <c:pt idx="0">
                  <c:v>1.5729166666666666E-2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22-4F43-9E1D-A20C2E2C5322}"/>
            </c:ext>
          </c:extLst>
        </c:ser>
        <c:ser>
          <c:idx val="9"/>
          <c:order val="7"/>
          <c:tx>
            <c:strRef>
              <c:f>CTP!$B$40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(CTP!$C$40,CTP!$D$40)</c:f>
              <c:numCache>
                <c:formatCode>"$"#,##0.000</c:formatCode>
                <c:ptCount val="2"/>
                <c:pt idx="0">
                  <c:v>1.9010416666666665E-2</c:v>
                </c:pt>
                <c:pt idx="1">
                  <c:v>2.5499999999999998E-2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22-4F43-9E1D-A20C2E2C5322}"/>
            </c:ext>
          </c:extLst>
        </c:ser>
        <c:ser>
          <c:idx val="7"/>
          <c:order val="8"/>
          <c:tx>
            <c:strRef>
              <c:f>CTP!$B$41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CTP!$C$41:$D$41</c:f>
              <c:numCache>
                <c:formatCode>"$"#,##0.000</c:formatCode>
                <c:ptCount val="2"/>
                <c:pt idx="0">
                  <c:v>1.3348022324341074E-2</c:v>
                </c:pt>
                <c:pt idx="1">
                  <c:v>2.2939327519186738E-2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9"/>
          <c:tx>
            <c:strRef>
              <c:f>CTP!$B$42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CTP!$C$42:$D$42</c:f>
              <c:numCache>
                <c:formatCode>"$"#,##0.000</c:formatCode>
                <c:ptCount val="2"/>
                <c:pt idx="0">
                  <c:v>0.04</c:v>
                </c:pt>
                <c:pt idx="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10"/>
          <c:tx>
            <c:strRef>
              <c:f>CTP!$B$43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CTP!$C$43:$D$43</c:f>
              <c:numCache>
                <c:formatCode>"$"#,##0.000</c:formatCode>
                <c:ptCount val="2"/>
                <c:pt idx="0">
                  <c:v>0.17222399999999996</c:v>
                </c:pt>
                <c:pt idx="1">
                  <c:v>1.67992E-2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1"/>
          <c:tx>
            <c:strRef>
              <c:f>CTP!$B$44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CTP!$C$44:$D$44</c:f>
              <c:numCache>
                <c:formatCode>"$"#,##0.000</c:formatCode>
                <c:ptCount val="2"/>
                <c:pt idx="0">
                  <c:v>1.0279999999999999E-2</c:v>
                </c:pt>
                <c:pt idx="1">
                  <c:v>2.2080000000000003E-4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CTP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060323654106103"/>
          <c:y val="3.7755828023738648E-2"/>
          <c:w val="0.30531954455578336"/>
          <c:h val="0.90438653902008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7822177931338934"/>
          <c:y val="0.15784586815227483"/>
          <c:w val="0.75662429165546652"/>
          <c:h val="0.65339233361846483"/>
        </c:manualLayout>
      </c:layout>
      <c:scatterChart>
        <c:scatterStyle val="lineMarker"/>
        <c:varyColors val="1"/>
        <c:ser>
          <c:idx val="0"/>
          <c:order val="0"/>
          <c:tx>
            <c:strRef>
              <c:f>CTP!$C$130</c:f>
              <c:strCache>
                <c:ptCount val="1"/>
                <c:pt idx="0">
                  <c:v>Combustión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70C0"/>
              </a:solidFill>
              <a:ln cmpd="sng">
                <a:solidFill>
                  <a:srgbClr val="0070C0"/>
                </a:solidFill>
              </a:ln>
            </c:spPr>
          </c:marker>
          <c:xVal>
            <c:numRef>
              <c:f>CTP!$B$131:$B$133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50000</c:v>
                </c:pt>
              </c:numCache>
            </c:numRef>
          </c:xVal>
          <c:yVal>
            <c:numRef>
              <c:f>CTP!$C$131:$C$133</c:f>
              <c:numCache>
                <c:formatCode>"$"#,##0.000</c:formatCode>
                <c:ptCount val="3"/>
                <c:pt idx="0">
                  <c:v>0.47492921131534876</c:v>
                </c:pt>
                <c:pt idx="1">
                  <c:v>0.34871660565767443</c:v>
                </c:pt>
                <c:pt idx="2">
                  <c:v>0.2982315633946046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FE-4DFE-A491-565DB96CFED9}"/>
            </c:ext>
          </c:extLst>
        </c:ser>
        <c:ser>
          <c:idx val="1"/>
          <c:order val="1"/>
          <c:tx>
            <c:strRef>
              <c:f>CTP!$D$130</c:f>
              <c:strCache>
                <c:ptCount val="1"/>
                <c:pt idx="0">
                  <c:v>Eléctrico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B0F0"/>
              </a:solidFill>
              <a:ln cmpd="sng">
                <a:solidFill>
                  <a:srgbClr val="00B0F0"/>
                </a:solidFill>
              </a:ln>
            </c:spPr>
          </c:marker>
          <c:xVal>
            <c:numRef>
              <c:f>CTP!$B$131:$B$133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50000</c:v>
                </c:pt>
              </c:numCache>
            </c:numRef>
          </c:xVal>
          <c:yVal>
            <c:numRef>
              <c:f>CTP!$D$131:$D$133</c:f>
              <c:numCache>
                <c:formatCode>"$"#,##0.000</c:formatCode>
                <c:ptCount val="3"/>
                <c:pt idx="0">
                  <c:v>0.51039865503837345</c:v>
                </c:pt>
                <c:pt idx="1">
                  <c:v>0.27370932751918675</c:v>
                </c:pt>
                <c:pt idx="2">
                  <c:v>0.17903359651151204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FE-4DFE-A491-565DB96CF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702606"/>
        <c:axId val="856353254"/>
      </c:scatterChart>
      <c:valAx>
        <c:axId val="1478702606"/>
        <c:scaling>
          <c:orientation val="minMax"/>
          <c:max val="50000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entury Gothic"/>
                  </a:defRPr>
                </a:pPr>
                <a:r>
                  <a:rPr lang="es-CO" sz="1000" b="0" i="0">
                    <a:solidFill>
                      <a:srgbClr val="000000"/>
                    </a:solidFill>
                    <a:latin typeface="Century Gothic"/>
                  </a:rPr>
                  <a:t>Kilometraje anual(km)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endParaRPr lang="es-CO"/>
          </a:p>
        </c:txPr>
        <c:crossAx val="856353254"/>
        <c:crosses val="autoZero"/>
        <c:crossBetween val="midCat"/>
      </c:valAx>
      <c:valAx>
        <c:axId val="8563532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entury Gothic"/>
                  </a:defRPr>
                </a:pPr>
                <a:r>
                  <a:rPr lang="es-CO" sz="1000" b="0" i="0">
                    <a:solidFill>
                      <a:srgbClr val="000000"/>
                    </a:solidFill>
                    <a:latin typeface="Century Gothic"/>
                  </a:rPr>
                  <a:t>CTP (USD/km)</a:t>
                </a:r>
              </a:p>
            </c:rich>
          </c:tx>
          <c:overlay val="0"/>
        </c:title>
        <c:numFmt formatCode="&quot;$&quot;#,##0.0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endParaRPr lang="es-CO"/>
          </a:p>
        </c:txPr>
        <c:crossAx val="1478702606"/>
        <c:crosses val="autoZero"/>
        <c:crossBetween val="midCat"/>
      </c:valAx>
    </c:plotArea>
    <c:legend>
      <c:legendPos val="t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entury Gothic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431164</xdr:colOff>
      <xdr:row>44</xdr:row>
      <xdr:rowOff>59765</xdr:rowOff>
    </xdr:from>
    <xdr:to>
      <xdr:col>5</xdr:col>
      <xdr:colOff>392206</xdr:colOff>
      <xdr:row>69</xdr:row>
      <xdr:rowOff>107762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395381</xdr:colOff>
      <xdr:row>70</xdr:row>
      <xdr:rowOff>67236</xdr:rowOff>
    </xdr:from>
    <xdr:to>
      <xdr:col>6</xdr:col>
      <xdr:colOff>605117</xdr:colOff>
      <xdr:row>85</xdr:row>
      <xdr:rowOff>73098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112059</xdr:colOff>
      <xdr:row>125</xdr:row>
      <xdr:rowOff>33618</xdr:rowOff>
    </xdr:from>
    <xdr:ext cx="3695700" cy="2971800"/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3C64DFCD-77FB-4DEA-83D4-3335BD63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0.1546</cdr:x>
      <cdr:y>0</cdr:y>
    </cdr:from>
    <cdr:to>
      <cdr:x>0.36928</cdr:x>
      <cdr:y>0.10811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1007444" y="0"/>
          <a:ext cx="1398958" cy="459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83,962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0.3 USD/km</a:t>
          </a:r>
        </a:p>
      </cdr:txBody>
    </cdr:sp>
  </cdr:relSizeAnchor>
  <cdr:relSizeAnchor xmlns:cdr="http://schemas.openxmlformats.org/drawingml/2006/chartDrawing">
    <cdr:from>
      <cdr:x>0.40058</cdr:x>
      <cdr:y>0.17521</cdr:y>
    </cdr:from>
    <cdr:to>
      <cdr:x>0.61526</cdr:x>
      <cdr:y>0.27963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2610373" y="744682"/>
          <a:ext cx="1398958" cy="443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65,960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USD</a:t>
          </a:r>
        </a:p>
        <a:p xmlns:a="http://schemas.openxmlformats.org/drawingml/2006/main">
          <a:pPr algn="ctr"/>
          <a:r>
            <a:rPr kumimoji="0" lang="es-CO" sz="11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0.3 USD/km</a:t>
          </a:r>
          <a:endParaRPr lang="es-CO" sz="1100" b="1" baseline="0">
            <a:solidFill>
              <a:srgbClr val="002060"/>
            </a:solidFill>
            <a:latin typeface="Century Gothic" panose="020B0502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0.13462</cdr:x>
      <cdr:y>0.04458</cdr:y>
    </cdr:from>
    <cdr:to>
      <cdr:x>0.35634</cdr:x>
      <cdr:y>0.12999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1045006" y="112662"/>
          <a:ext cx="1721102" cy="215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0.349 USD/km</a:t>
          </a:r>
        </a:p>
      </cdr:txBody>
    </cdr:sp>
  </cdr:relSizeAnchor>
  <cdr:relSizeAnchor xmlns:cdr="http://schemas.openxmlformats.org/drawingml/2006/chartDrawing">
    <cdr:from>
      <cdr:x>0.43271</cdr:x>
      <cdr:y>0.17707</cdr:y>
    </cdr:from>
    <cdr:to>
      <cdr:x>0.64317</cdr:x>
      <cdr:y>0.26248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3358945" y="447481"/>
          <a:ext cx="1633696" cy="215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0.274 USD/km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41</xdr:row>
      <xdr:rowOff>0</xdr:rowOff>
    </xdr:from>
    <xdr:to>
      <xdr:col>10</xdr:col>
      <xdr:colOff>542925</xdr:colOff>
      <xdr:row>42</xdr:row>
      <xdr:rowOff>146100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41DF6-B2C8-4A8F-A4D9-0B19C753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36600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0DFE1499-1D9A-4301-A3DD-E494745DD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41</xdr:row>
      <xdr:rowOff>0</xdr:rowOff>
    </xdr:from>
    <xdr:ext cx="0" cy="346125"/>
    <xdr:pic>
      <xdr:nvPicPr>
        <xdr:cNvPr id="4" name="Imagen 3">
          <a:extLst>
            <a:ext uri="{FF2B5EF4-FFF2-40B4-BE49-F238E27FC236}">
              <a16:creationId xmlns:a16="http://schemas.microsoft.com/office/drawing/2014/main" id="{C5E51707-518B-4CFE-81BF-47F6B5CE2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57149</xdr:rowOff>
    </xdr:from>
    <xdr:to>
      <xdr:col>9</xdr:col>
      <xdr:colOff>30179</xdr:colOff>
      <xdr:row>17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31F209-CF51-4657-BB53-618E58728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247649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</xdr:row>
      <xdr:rowOff>28575</xdr:rowOff>
    </xdr:from>
    <xdr:to>
      <xdr:col>17</xdr:col>
      <xdr:colOff>87092</xdr:colOff>
      <xdr:row>21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01186A-6255-43E8-861C-93A4C26A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219075"/>
          <a:ext cx="5916392" cy="388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TP%20Minibus_UY_vf.xlsx?AF8CED50" TargetMode="External"/><Relationship Id="rId1" Type="http://schemas.openxmlformats.org/officeDocument/2006/relationships/externalLinkPath" Target="file:///\\AF8CED50\CTP%20Minibus_UY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CTP"/>
      <sheetName val="CTP Valor Presente"/>
      <sheetName val="Fuentes"/>
    </sheetNames>
    <sheetDataSet>
      <sheetData sheetId="0"/>
      <sheetData sheetId="1"/>
      <sheetData sheetId="2">
        <row r="7">
          <cell r="C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nault.co.uk/electric-vehicles/kangoo-ze/engines.html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energy.gov/sites/prod/files/2017/02/f34/67089%20EERE%20LIB%20cost%20vs%20price%20metrics%20r9.pdf" TargetMode="External"/><Relationship Id="rId7" Type="http://schemas.openxmlformats.org/officeDocument/2006/relationships/hyperlink" Target="https://www.renault.co.uk/electric-vehicles/kangoo-ze/engines.html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www.energy.gov/sites/prod/files/2017/02/f34/67089%20EERE%20LIB%20cost%20vs%20price%20metrics%20r9.pdf" TargetMode="Externa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www.bcu.gub.uy/Servicios-Financieros-SSF/Paginas/Tasas-Medias.asp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bcu.gub.uy/Servicios-Financieros-SSF/Paginas/Tasas-Medias.aspx" TargetMode="External"/><Relationship Id="rId10" Type="http://schemas.openxmlformats.org/officeDocument/2006/relationships/hyperlink" Target="https://www.ancap.com.uy/2093/1/precios-combustibles.html" TargetMode="External"/><Relationship Id="rId4" Type="http://schemas.openxmlformats.org/officeDocument/2006/relationships/hyperlink" Target="http://www.eficienciaenergetica.gub.uy/documents/20182/56464/Utilitarios+el%C3%A9ctricos_inversi%C3%B3n+rentable.pdf/02d5a347-2bbc-42e2-b527-723637eaefc8" TargetMode="External"/><Relationship Id="rId9" Type="http://schemas.openxmlformats.org/officeDocument/2006/relationships/hyperlink" Target="https://www.ute.com.uy/sites/default/files/docs/Pliego%20Tarifario%20Vigente%20desde%201%20de%20Enero%20de%20202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B1E6-284E-4D46-9A77-A2774E122C32}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5" width="11.85546875" style="261" customWidth="1"/>
    <col min="16" max="16384" width="11.42578125" style="261"/>
  </cols>
  <sheetData>
    <row r="1" spans="1:15" ht="17.25" thickBot="1" x14ac:dyDescent="0.35">
      <c r="A1" s="258" t="s">
        <v>209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x14ac:dyDescent="0.3">
      <c r="A2" s="262"/>
      <c r="O2" s="263"/>
    </row>
    <row r="3" spans="1:15" x14ac:dyDescent="0.3">
      <c r="A3" s="262" t="s">
        <v>210</v>
      </c>
      <c r="O3" s="263"/>
    </row>
    <row r="4" spans="1:15" x14ac:dyDescent="0.3">
      <c r="A4" s="262"/>
      <c r="O4" s="263"/>
    </row>
    <row r="5" spans="1:15" x14ac:dyDescent="0.3">
      <c r="A5" s="264"/>
      <c r="B5" s="261" t="s">
        <v>211</v>
      </c>
      <c r="O5" s="263"/>
    </row>
    <row r="6" spans="1:15" x14ac:dyDescent="0.3">
      <c r="A6" s="262"/>
      <c r="O6" s="263"/>
    </row>
    <row r="7" spans="1:15" x14ac:dyDescent="0.3">
      <c r="A7" s="265"/>
      <c r="B7" s="261" t="s">
        <v>212</v>
      </c>
      <c r="O7" s="263"/>
    </row>
    <row r="8" spans="1:15" x14ac:dyDescent="0.3">
      <c r="A8" s="262"/>
      <c r="O8" s="263"/>
    </row>
    <row r="9" spans="1:15" x14ac:dyDescent="0.3">
      <c r="A9" s="266"/>
      <c r="B9" s="261" t="s">
        <v>213</v>
      </c>
      <c r="O9" s="263"/>
    </row>
    <row r="10" spans="1:15" x14ac:dyDescent="0.3">
      <c r="A10" s="262"/>
      <c r="O10" s="263"/>
    </row>
    <row r="11" spans="1:15" x14ac:dyDescent="0.3">
      <c r="A11" s="262"/>
      <c r="O11" s="263"/>
    </row>
    <row r="12" spans="1:15" x14ac:dyDescent="0.3">
      <c r="A12" s="262" t="s">
        <v>214</v>
      </c>
      <c r="O12" s="263"/>
    </row>
    <row r="13" spans="1:15" x14ac:dyDescent="0.3">
      <c r="A13" s="262"/>
      <c r="O13" s="263"/>
    </row>
    <row r="14" spans="1:15" ht="17.25" thickBot="1" x14ac:dyDescent="0.35">
      <c r="A14" s="267" t="s">
        <v>215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9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41"/>
  <sheetViews>
    <sheetView zoomScale="85" zoomScaleNormal="85" workbookViewId="0">
      <selection sqref="A1:F1"/>
    </sheetView>
  </sheetViews>
  <sheetFormatPr baseColWidth="10" defaultColWidth="10.85546875" defaultRowHeight="13.5" x14ac:dyDescent="0.25"/>
  <cols>
    <col min="1" max="1" width="33.85546875" style="8" customWidth="1"/>
    <col min="2" max="3" width="18.140625" style="8" customWidth="1"/>
    <col min="4" max="4" width="25.85546875" style="8" customWidth="1"/>
    <col min="5" max="5" width="18.140625" style="8" customWidth="1"/>
    <col min="6" max="6" width="22.42578125" style="8" customWidth="1"/>
    <col min="7" max="9" width="12.42578125" style="8" customWidth="1"/>
    <col min="10" max="13" width="13" style="8" customWidth="1"/>
    <col min="14" max="16384" width="10.85546875" style="8"/>
  </cols>
  <sheetData>
    <row r="1" spans="1:11" s="4" customFormat="1" ht="12.6" x14ac:dyDescent="0.25">
      <c r="A1" s="239" t="s">
        <v>47</v>
      </c>
      <c r="B1" s="239"/>
      <c r="C1" s="239"/>
      <c r="D1" s="239"/>
      <c r="E1" s="239"/>
      <c r="F1" s="239"/>
    </row>
    <row r="2" spans="1:11" s="4" customFormat="1" ht="15" x14ac:dyDescent="0.25">
      <c r="A2" s="240" t="s">
        <v>103</v>
      </c>
      <c r="B2" s="240"/>
      <c r="C2" s="240"/>
      <c r="D2" s="240"/>
      <c r="E2" s="240"/>
      <c r="F2" s="240"/>
      <c r="G2" s="101" t="s">
        <v>32</v>
      </c>
    </row>
    <row r="3" spans="1:11" s="4" customFormat="1" x14ac:dyDescent="0.25">
      <c r="A3" s="6" t="s">
        <v>28</v>
      </c>
      <c r="C3" s="5"/>
      <c r="D3" s="5"/>
      <c r="E3" s="5"/>
    </row>
    <row r="4" spans="1:11" s="4" customFormat="1" x14ac:dyDescent="0.25">
      <c r="A4" s="7" t="s">
        <v>58</v>
      </c>
      <c r="B4" s="7" t="s">
        <v>59</v>
      </c>
      <c r="C4" s="7" t="s">
        <v>60</v>
      </c>
      <c r="D4" s="7" t="s">
        <v>61</v>
      </c>
      <c r="E4" s="8"/>
      <c r="F4" s="7" t="s">
        <v>58</v>
      </c>
      <c r="G4" s="7" t="s">
        <v>59</v>
      </c>
      <c r="H4" s="7" t="s">
        <v>90</v>
      </c>
      <c r="I4" s="7" t="s">
        <v>147</v>
      </c>
    </row>
    <row r="5" spans="1:11" s="4" customFormat="1" ht="29.1" customHeight="1" x14ac:dyDescent="0.25">
      <c r="A5" s="9" t="s">
        <v>0</v>
      </c>
      <c r="B5" s="9" t="s">
        <v>1</v>
      </c>
      <c r="C5" s="158">
        <v>12500</v>
      </c>
      <c r="D5" s="3" t="s">
        <v>48</v>
      </c>
      <c r="E5" s="8"/>
      <c r="F5" s="9" t="s">
        <v>63</v>
      </c>
      <c r="G5" s="9" t="s">
        <v>1</v>
      </c>
      <c r="H5" s="112">
        <f>C5</f>
        <v>12500</v>
      </c>
      <c r="I5" s="112">
        <f>C15</f>
        <v>34000</v>
      </c>
    </row>
    <row r="6" spans="1:11" s="4" customFormat="1" ht="29.1" customHeight="1" x14ac:dyDescent="0.25">
      <c r="A6" s="9" t="s">
        <v>49</v>
      </c>
      <c r="B6" s="9" t="s">
        <v>54</v>
      </c>
      <c r="C6" s="18">
        <v>8</v>
      </c>
      <c r="D6" s="3" t="s">
        <v>35</v>
      </c>
      <c r="E6" s="8"/>
      <c r="F6" s="9" t="s">
        <v>156</v>
      </c>
      <c r="G6" s="9" t="s">
        <v>1</v>
      </c>
      <c r="H6" s="1" t="s">
        <v>43</v>
      </c>
      <c r="I6" s="113">
        <f>C26</f>
        <v>2000</v>
      </c>
    </row>
    <row r="7" spans="1:11" s="4" customFormat="1" ht="29.1" customHeight="1" x14ac:dyDescent="0.25">
      <c r="A7" s="9" t="s">
        <v>50</v>
      </c>
      <c r="B7" s="9" t="s">
        <v>2</v>
      </c>
      <c r="C7" s="159">
        <v>10</v>
      </c>
      <c r="D7" s="3" t="s">
        <v>35</v>
      </c>
      <c r="F7" s="9" t="s">
        <v>49</v>
      </c>
      <c r="G7" s="9" t="s">
        <v>54</v>
      </c>
      <c r="H7" s="114">
        <f>C6</f>
        <v>8</v>
      </c>
      <c r="I7" s="114">
        <f>C17</f>
        <v>8</v>
      </c>
    </row>
    <row r="8" spans="1:11" s="4" customFormat="1" ht="29.1" customHeight="1" x14ac:dyDescent="0.25">
      <c r="A8" s="9" t="s">
        <v>51</v>
      </c>
      <c r="B8" s="9" t="s">
        <v>3</v>
      </c>
      <c r="C8" s="163">
        <v>0</v>
      </c>
      <c r="D8" s="3"/>
      <c r="E8" s="8"/>
      <c r="F8" s="9" t="s">
        <v>157</v>
      </c>
      <c r="G8" s="9" t="s">
        <v>3</v>
      </c>
      <c r="H8" s="115">
        <f>C9</f>
        <v>0.04</v>
      </c>
      <c r="I8" s="115">
        <f>C21</f>
        <v>0.02</v>
      </c>
    </row>
    <row r="9" spans="1:11" s="4" customFormat="1" ht="29.1" customHeight="1" x14ac:dyDescent="0.25">
      <c r="A9" s="9" t="s">
        <v>53</v>
      </c>
      <c r="B9" s="9" t="s">
        <v>3</v>
      </c>
      <c r="C9" s="163">
        <v>0.04</v>
      </c>
      <c r="D9" s="3"/>
      <c r="E9" s="8"/>
      <c r="F9" s="9" t="s">
        <v>50</v>
      </c>
      <c r="G9" s="9" t="s">
        <v>43</v>
      </c>
      <c r="H9" s="115" t="s">
        <v>44</v>
      </c>
      <c r="I9" s="115" t="s">
        <v>45</v>
      </c>
    </row>
    <row r="10" spans="1:11" ht="29.1" customHeight="1" x14ac:dyDescent="0.25">
      <c r="A10" s="9" t="s">
        <v>52</v>
      </c>
      <c r="B10" s="9" t="s">
        <v>3</v>
      </c>
      <c r="C10" s="163">
        <v>0</v>
      </c>
      <c r="D10" s="3"/>
      <c r="F10" s="9" t="s">
        <v>158</v>
      </c>
      <c r="G10" s="9" t="s">
        <v>78</v>
      </c>
      <c r="H10" s="242">
        <f>C41</f>
        <v>30000</v>
      </c>
      <c r="I10" s="242"/>
      <c r="J10" s="4"/>
      <c r="K10" s="4"/>
    </row>
    <row r="11" spans="1:11" ht="29.1" customHeight="1" x14ac:dyDescent="0.25">
      <c r="F11" s="9" t="s">
        <v>159</v>
      </c>
      <c r="G11" s="9" t="s">
        <v>79</v>
      </c>
      <c r="H11" s="242">
        <f>C44</f>
        <v>300</v>
      </c>
      <c r="I11" s="242"/>
      <c r="J11" s="4"/>
      <c r="K11" s="4"/>
    </row>
    <row r="12" spans="1:11" s="4" customFormat="1" x14ac:dyDescent="0.25">
      <c r="A12" s="6" t="s">
        <v>26</v>
      </c>
      <c r="C12" s="5"/>
      <c r="D12" s="5"/>
      <c r="E12" s="5"/>
    </row>
    <row r="13" spans="1:11" s="4" customFormat="1" x14ac:dyDescent="0.25">
      <c r="A13" s="7" t="s">
        <v>58</v>
      </c>
      <c r="B13" s="7" t="s">
        <v>59</v>
      </c>
      <c r="C13" s="7" t="s">
        <v>60</v>
      </c>
      <c r="D13" s="7" t="s">
        <v>61</v>
      </c>
      <c r="E13" s="8"/>
    </row>
    <row r="14" spans="1:11" s="4" customFormat="1" x14ac:dyDescent="0.25">
      <c r="A14" s="7"/>
      <c r="B14" s="7"/>
      <c r="C14" s="7"/>
      <c r="D14" s="7"/>
      <c r="E14" s="8"/>
    </row>
    <row r="15" spans="1:11" s="4" customFormat="1" ht="15" x14ac:dyDescent="0.25">
      <c r="A15" s="9" t="s">
        <v>27</v>
      </c>
      <c r="B15" s="9" t="s">
        <v>1</v>
      </c>
      <c r="C15" s="19">
        <v>34000</v>
      </c>
      <c r="D15" s="123" t="s">
        <v>34</v>
      </c>
      <c r="E15" s="8"/>
      <c r="F15" s="2"/>
      <c r="G15" s="3"/>
    </row>
    <row r="16" spans="1:11" s="4" customFormat="1" ht="15" x14ac:dyDescent="0.25">
      <c r="A16" s="9" t="s">
        <v>55</v>
      </c>
      <c r="B16" s="9" t="s">
        <v>24</v>
      </c>
      <c r="C16" s="160">
        <v>33</v>
      </c>
      <c r="D16" s="123" t="s">
        <v>34</v>
      </c>
      <c r="E16" s="8"/>
      <c r="F16" s="12"/>
      <c r="G16" s="103"/>
    </row>
    <row r="17" spans="1:7" s="4" customFormat="1" ht="40.5" x14ac:dyDescent="0.25">
      <c r="A17" s="9" t="s">
        <v>56</v>
      </c>
      <c r="B17" s="9" t="s">
        <v>54</v>
      </c>
      <c r="C17" s="161">
        <v>8</v>
      </c>
      <c r="D17" s="3" t="s">
        <v>66</v>
      </c>
      <c r="E17" s="3"/>
      <c r="F17" s="1"/>
      <c r="G17" s="3"/>
    </row>
    <row r="18" spans="1:7" s="4" customFormat="1" x14ac:dyDescent="0.25">
      <c r="A18" s="9" t="s">
        <v>57</v>
      </c>
      <c r="B18" s="9" t="s">
        <v>54</v>
      </c>
      <c r="C18" s="161">
        <v>8</v>
      </c>
      <c r="D18" s="3" t="s">
        <v>29</v>
      </c>
      <c r="E18" s="8"/>
      <c r="F18" s="1"/>
      <c r="G18" s="3"/>
    </row>
    <row r="19" spans="1:7" s="4" customFormat="1" ht="37.5" customHeight="1" x14ac:dyDescent="0.25">
      <c r="A19" s="9" t="s">
        <v>50</v>
      </c>
      <c r="B19" s="9" t="s">
        <v>5</v>
      </c>
      <c r="C19" s="161">
        <v>0.2</v>
      </c>
      <c r="D19" s="3" t="s">
        <v>35</v>
      </c>
      <c r="E19" s="8"/>
      <c r="F19" s="1"/>
      <c r="G19" s="3"/>
    </row>
    <row r="20" spans="1:7" ht="40.5" x14ac:dyDescent="0.25">
      <c r="A20" s="9" t="s">
        <v>51</v>
      </c>
      <c r="B20" s="9" t="s">
        <v>3</v>
      </c>
      <c r="C20" s="162">
        <f>C8*1.1</f>
        <v>0</v>
      </c>
      <c r="D20" s="3" t="s">
        <v>104</v>
      </c>
    </row>
    <row r="21" spans="1:7" ht="27" x14ac:dyDescent="0.25">
      <c r="A21" s="9" t="s">
        <v>53</v>
      </c>
      <c r="B21" s="9" t="s">
        <v>3</v>
      </c>
      <c r="C21" s="162">
        <f>C9*0.5</f>
        <v>0.02</v>
      </c>
      <c r="D21" s="3" t="s">
        <v>105</v>
      </c>
    </row>
    <row r="22" spans="1:7" ht="27" x14ac:dyDescent="0.25">
      <c r="A22" s="9" t="s">
        <v>52</v>
      </c>
      <c r="B22" s="9" t="s">
        <v>3</v>
      </c>
      <c r="C22" s="162">
        <f>C10*0.8</f>
        <v>0</v>
      </c>
      <c r="D22" s="3" t="s">
        <v>106</v>
      </c>
    </row>
    <row r="23" spans="1:7" s="11" customFormat="1" x14ac:dyDescent="0.25">
      <c r="A23" s="10"/>
      <c r="B23" s="10"/>
      <c r="C23" s="94"/>
      <c r="D23" s="95"/>
    </row>
    <row r="24" spans="1:7" s="4" customFormat="1" x14ac:dyDescent="0.25">
      <c r="A24" s="6" t="s">
        <v>62</v>
      </c>
      <c r="C24" s="5"/>
      <c r="D24" s="5"/>
      <c r="E24" s="5"/>
    </row>
    <row r="25" spans="1:7" s="4" customFormat="1" x14ac:dyDescent="0.25">
      <c r="A25" s="7" t="s">
        <v>58</v>
      </c>
      <c r="B25" s="7" t="s">
        <v>59</v>
      </c>
      <c r="C25" s="7" t="s">
        <v>60</v>
      </c>
      <c r="D25" s="7" t="s">
        <v>61</v>
      </c>
      <c r="E25" s="8"/>
      <c r="F25" s="8"/>
      <c r="G25" s="8"/>
    </row>
    <row r="26" spans="1:7" ht="27" x14ac:dyDescent="0.25">
      <c r="A26" s="9" t="s">
        <v>108</v>
      </c>
      <c r="B26" s="9" t="s">
        <v>1</v>
      </c>
      <c r="C26" s="162">
        <v>2000</v>
      </c>
      <c r="D26" s="3" t="s">
        <v>107</v>
      </c>
      <c r="F26" s="143"/>
    </row>
    <row r="27" spans="1:7" x14ac:dyDescent="0.25">
      <c r="A27" s="9" t="s">
        <v>169</v>
      </c>
      <c r="B27" s="9" t="s">
        <v>170</v>
      </c>
      <c r="C27" s="164">
        <v>7.4</v>
      </c>
      <c r="D27" s="144"/>
      <c r="F27" s="143"/>
    </row>
    <row r="28" spans="1:7" x14ac:dyDescent="0.25">
      <c r="A28" s="9" t="s">
        <v>109</v>
      </c>
      <c r="B28" s="9" t="s">
        <v>7</v>
      </c>
      <c r="C28" s="162">
        <v>200</v>
      </c>
      <c r="D28" s="3" t="s">
        <v>114</v>
      </c>
    </row>
    <row r="29" spans="1:7" s="4" customFormat="1" ht="50.25" customHeight="1" x14ac:dyDescent="0.25">
      <c r="A29" s="9" t="s">
        <v>111</v>
      </c>
      <c r="B29" s="9" t="s">
        <v>11</v>
      </c>
      <c r="C29" s="165">
        <v>0.9</v>
      </c>
      <c r="D29" s="237" t="s">
        <v>110</v>
      </c>
      <c r="E29" s="8"/>
      <c r="F29" s="8"/>
      <c r="G29" s="8"/>
    </row>
    <row r="30" spans="1:7" s="4" customFormat="1" ht="27" x14ac:dyDescent="0.25">
      <c r="A30" s="9" t="s">
        <v>112</v>
      </c>
      <c r="B30" s="9" t="s">
        <v>11</v>
      </c>
      <c r="C30" s="165">
        <f>1-C29</f>
        <v>9.9999999999999978E-2</v>
      </c>
      <c r="D30" s="237"/>
      <c r="E30" s="8"/>
      <c r="F30" s="8"/>
      <c r="G30" s="8"/>
    </row>
    <row r="31" spans="1:7" s="4" customFormat="1" x14ac:dyDescent="0.25">
      <c r="A31" s="9" t="s">
        <v>65</v>
      </c>
      <c r="B31" s="9" t="s">
        <v>141</v>
      </c>
      <c r="C31" s="160">
        <v>10</v>
      </c>
      <c r="D31" s="3" t="s">
        <v>113</v>
      </c>
      <c r="E31" s="8"/>
      <c r="F31" s="8"/>
      <c r="G31" s="8"/>
    </row>
    <row r="33" spans="1:9" s="4" customFormat="1" x14ac:dyDescent="0.25">
      <c r="A33" s="6" t="s">
        <v>94</v>
      </c>
      <c r="C33" s="5"/>
      <c r="D33" s="5"/>
      <c r="E33" s="5"/>
    </row>
    <row r="34" spans="1:9" s="4" customFormat="1" x14ac:dyDescent="0.25">
      <c r="A34" s="7" t="s">
        <v>58</v>
      </c>
      <c r="B34" s="7" t="s">
        <v>59</v>
      </c>
      <c r="C34" s="7" t="s">
        <v>60</v>
      </c>
      <c r="D34" s="7" t="s">
        <v>61</v>
      </c>
      <c r="E34" s="8"/>
      <c r="F34" s="8"/>
      <c r="G34" s="8"/>
    </row>
    <row r="35" spans="1:9" s="4" customFormat="1" ht="27" x14ac:dyDescent="0.25">
      <c r="A35" s="9" t="s">
        <v>67</v>
      </c>
      <c r="B35" s="9" t="s">
        <v>11</v>
      </c>
      <c r="C35" s="165">
        <v>0.5</v>
      </c>
      <c r="D35" s="3" t="s">
        <v>68</v>
      </c>
      <c r="E35" s="99" t="s">
        <v>30</v>
      </c>
      <c r="F35" s="8"/>
      <c r="G35" s="100"/>
    </row>
    <row r="36" spans="1:9" s="4" customFormat="1" ht="27" x14ac:dyDescent="0.25">
      <c r="A36" s="9" t="s">
        <v>69</v>
      </c>
      <c r="B36" s="9" t="s">
        <v>11</v>
      </c>
      <c r="C36" s="165">
        <v>0.7</v>
      </c>
      <c r="D36" s="3" t="s">
        <v>68</v>
      </c>
      <c r="E36" s="99" t="s">
        <v>30</v>
      </c>
      <c r="F36" s="8"/>
      <c r="G36" s="100"/>
    </row>
    <row r="37" spans="1:9" x14ac:dyDescent="0.25">
      <c r="C37" s="15"/>
    </row>
    <row r="38" spans="1:9" x14ac:dyDescent="0.25">
      <c r="A38" s="238" t="s">
        <v>70</v>
      </c>
      <c r="B38" s="238"/>
      <c r="C38" s="238"/>
      <c r="D38" s="238"/>
      <c r="E38" s="241" t="s">
        <v>71</v>
      </c>
      <c r="F38" s="241"/>
      <c r="G38" s="241"/>
      <c r="H38" s="241"/>
      <c r="I38" s="241"/>
    </row>
    <row r="39" spans="1:9" x14ac:dyDescent="0.25">
      <c r="G39" s="64"/>
      <c r="H39" s="63" t="s">
        <v>148</v>
      </c>
      <c r="I39" s="63" t="s">
        <v>149</v>
      </c>
    </row>
    <row r="40" spans="1:9" x14ac:dyDescent="0.25">
      <c r="A40" s="7" t="s">
        <v>58</v>
      </c>
      <c r="B40" s="7" t="s">
        <v>59</v>
      </c>
      <c r="C40" s="7" t="s">
        <v>60</v>
      </c>
      <c r="D40" s="7" t="s">
        <v>61</v>
      </c>
      <c r="F40" s="7" t="s">
        <v>58</v>
      </c>
      <c r="G40" s="7" t="s">
        <v>59</v>
      </c>
      <c r="H40" s="7" t="s">
        <v>60</v>
      </c>
    </row>
    <row r="41" spans="1:9" ht="38.25" x14ac:dyDescent="0.25">
      <c r="A41" s="9" t="s">
        <v>72</v>
      </c>
      <c r="B41" s="9" t="s">
        <v>78</v>
      </c>
      <c r="C41" s="18">
        <v>30000</v>
      </c>
      <c r="D41" s="102" t="s">
        <v>33</v>
      </c>
      <c r="F41" s="9" t="s">
        <v>72</v>
      </c>
      <c r="G41" s="9" t="s">
        <v>78</v>
      </c>
      <c r="H41" s="18">
        <v>50000</v>
      </c>
      <c r="I41" s="18">
        <v>15000</v>
      </c>
    </row>
    <row r="42" spans="1:9" x14ac:dyDescent="0.25">
      <c r="A42" s="9" t="s">
        <v>73</v>
      </c>
      <c r="B42" s="9" t="s">
        <v>9</v>
      </c>
      <c r="C42" s="166">
        <f>C41*C6</f>
        <v>240000</v>
      </c>
      <c r="D42" s="1" t="s">
        <v>81</v>
      </c>
      <c r="F42" s="9" t="s">
        <v>73</v>
      </c>
      <c r="G42" s="9" t="s">
        <v>9</v>
      </c>
      <c r="H42" s="166">
        <f>H41*C6</f>
        <v>400000</v>
      </c>
      <c r="I42" s="166">
        <f>I41*C6</f>
        <v>120000</v>
      </c>
    </row>
    <row r="43" spans="1:9" x14ac:dyDescent="0.25">
      <c r="A43" s="9" t="s">
        <v>74</v>
      </c>
      <c r="B43" s="9" t="s">
        <v>9</v>
      </c>
      <c r="C43" s="166">
        <f>C41*$C$17</f>
        <v>240000</v>
      </c>
      <c r="D43" s="1" t="s">
        <v>81</v>
      </c>
      <c r="F43" s="9" t="s">
        <v>74</v>
      </c>
      <c r="G43" s="9" t="s">
        <v>9</v>
      </c>
      <c r="H43" s="166">
        <f>H41*C17</f>
        <v>400000</v>
      </c>
      <c r="I43" s="166">
        <f>I41*C17</f>
        <v>120000</v>
      </c>
    </row>
    <row r="44" spans="1:9" ht="27" x14ac:dyDescent="0.25">
      <c r="A44" s="9" t="s">
        <v>75</v>
      </c>
      <c r="B44" s="9" t="s">
        <v>79</v>
      </c>
      <c r="C44" s="18">
        <v>300</v>
      </c>
      <c r="D44" s="1" t="s">
        <v>80</v>
      </c>
      <c r="F44" s="9" t="s">
        <v>75</v>
      </c>
      <c r="G44" s="9" t="s">
        <v>10</v>
      </c>
      <c r="H44" s="18">
        <v>300</v>
      </c>
      <c r="I44" s="18">
        <v>300</v>
      </c>
    </row>
    <row r="45" spans="1:9" x14ac:dyDescent="0.25">
      <c r="A45" s="9" t="s">
        <v>76</v>
      </c>
      <c r="B45" s="9" t="s">
        <v>9</v>
      </c>
      <c r="C45" s="13">
        <f>C41/C44</f>
        <v>100</v>
      </c>
      <c r="D45" s="1" t="s">
        <v>81</v>
      </c>
      <c r="F45" s="9" t="s">
        <v>76</v>
      </c>
      <c r="G45" s="9" t="s">
        <v>9</v>
      </c>
      <c r="H45" s="13">
        <f>H41/H44</f>
        <v>166.66666666666666</v>
      </c>
      <c r="I45" s="13">
        <f>I41/I44</f>
        <v>50</v>
      </c>
    </row>
    <row r="46" spans="1:9" ht="12" customHeight="1" x14ac:dyDescent="0.25">
      <c r="A46" s="9" t="s">
        <v>77</v>
      </c>
      <c r="B46" s="9" t="s">
        <v>8</v>
      </c>
      <c r="C46" s="13">
        <f>C45*$C$19</f>
        <v>20</v>
      </c>
      <c r="D46" s="1" t="s">
        <v>81</v>
      </c>
      <c r="F46" s="9" t="s">
        <v>77</v>
      </c>
      <c r="G46" s="9" t="s">
        <v>8</v>
      </c>
      <c r="H46" s="13">
        <f>H45*$C$19</f>
        <v>33.333333333333336</v>
      </c>
      <c r="I46" s="13">
        <f>I45*$C$19</f>
        <v>10</v>
      </c>
    </row>
    <row r="47" spans="1:9" s="11" customFormat="1" ht="12" customHeight="1" x14ac:dyDescent="0.25">
      <c r="A47" s="10"/>
      <c r="B47" s="10"/>
      <c r="C47" s="16"/>
      <c r="D47" s="14"/>
    </row>
    <row r="49" spans="1:8" x14ac:dyDescent="0.25">
      <c r="A49" s="238" t="s">
        <v>87</v>
      </c>
      <c r="B49" s="238"/>
      <c r="C49" s="238"/>
      <c r="D49" s="238"/>
      <c r="E49" s="238"/>
      <c r="F49" s="238"/>
    </row>
    <row r="50" spans="1:8" x14ac:dyDescent="0.25">
      <c r="A50" s="6"/>
    </row>
    <row r="51" spans="1:8" x14ac:dyDescent="0.25">
      <c r="A51" s="7" t="s">
        <v>58</v>
      </c>
      <c r="B51" s="7" t="s">
        <v>59</v>
      </c>
      <c r="C51" s="7" t="s">
        <v>60</v>
      </c>
      <c r="D51" s="7" t="s">
        <v>61</v>
      </c>
    </row>
    <row r="52" spans="1:8" ht="27" x14ac:dyDescent="0.25">
      <c r="A52" s="9" t="s">
        <v>82</v>
      </c>
      <c r="B52" s="9" t="s">
        <v>11</v>
      </c>
      <c r="C52" s="20">
        <v>0.7</v>
      </c>
      <c r="D52" s="3" t="s">
        <v>35</v>
      </c>
    </row>
    <row r="53" spans="1:8" x14ac:dyDescent="0.25">
      <c r="A53" s="9" t="s">
        <v>83</v>
      </c>
      <c r="B53" s="9" t="s">
        <v>54</v>
      </c>
      <c r="C53" s="126">
        <v>5</v>
      </c>
      <c r="D53" s="3" t="s">
        <v>35</v>
      </c>
    </row>
    <row r="54" spans="1:8" ht="15" x14ac:dyDescent="0.25">
      <c r="A54" s="9" t="s">
        <v>84</v>
      </c>
      <c r="B54" s="9" t="s">
        <v>115</v>
      </c>
      <c r="C54" s="167">
        <v>6.5000000000000002E-2</v>
      </c>
      <c r="D54" s="104" t="s">
        <v>39</v>
      </c>
    </row>
    <row r="55" spans="1:8" ht="15" x14ac:dyDescent="0.25">
      <c r="A55" s="9" t="s">
        <v>85</v>
      </c>
      <c r="B55" s="9" t="s">
        <v>115</v>
      </c>
      <c r="C55" s="167">
        <v>5.8500000000000003E-2</v>
      </c>
      <c r="D55" s="104" t="s">
        <v>39</v>
      </c>
    </row>
    <row r="56" spans="1:8" ht="60" x14ac:dyDescent="0.25">
      <c r="A56" s="9" t="s">
        <v>86</v>
      </c>
      <c r="B56" s="9" t="s">
        <v>116</v>
      </c>
      <c r="C56" s="159">
        <v>2.3E-2</v>
      </c>
      <c r="D56" s="22" t="s">
        <v>13</v>
      </c>
    </row>
    <row r="60" spans="1:8" ht="14.25" thickBot="1" x14ac:dyDescent="0.3">
      <c r="A60" s="238" t="s">
        <v>88</v>
      </c>
      <c r="B60" s="238"/>
      <c r="C60" s="238"/>
      <c r="D60" s="238"/>
      <c r="E60" s="238"/>
      <c r="F60" s="238"/>
      <c r="G60" s="238"/>
      <c r="H60" s="238"/>
    </row>
    <row r="61" spans="1:8" x14ac:dyDescent="0.25">
      <c r="A61" s="170"/>
      <c r="B61" s="171" t="s">
        <v>180</v>
      </c>
      <c r="C61" s="171" t="s">
        <v>181</v>
      </c>
      <c r="D61" s="149"/>
      <c r="E61" s="149"/>
      <c r="F61" s="149"/>
      <c r="G61" s="149"/>
      <c r="H61" s="150"/>
    </row>
    <row r="62" spans="1:8" x14ac:dyDescent="0.25">
      <c r="A62" s="151" t="s">
        <v>195</v>
      </c>
      <c r="B62" s="172">
        <v>74.88</v>
      </c>
      <c r="C62" s="173">
        <f>B62*$C$56</f>
        <v>1.7222399999999998</v>
      </c>
      <c r="D62" s="17"/>
      <c r="E62" s="17"/>
      <c r="F62" s="17"/>
      <c r="G62" s="17"/>
      <c r="H62" s="153"/>
    </row>
    <row r="63" spans="1:8" x14ac:dyDescent="0.25">
      <c r="A63" s="151"/>
      <c r="B63" s="243" t="s">
        <v>197</v>
      </c>
      <c r="C63" s="243"/>
      <c r="D63" s="243" t="s">
        <v>198</v>
      </c>
      <c r="E63" s="243"/>
      <c r="F63" s="17"/>
      <c r="G63" s="17"/>
      <c r="H63" s="153"/>
    </row>
    <row r="64" spans="1:8" x14ac:dyDescent="0.25">
      <c r="A64" s="151"/>
      <c r="B64" s="174" t="s">
        <v>182</v>
      </c>
      <c r="C64" s="174" t="s">
        <v>183</v>
      </c>
      <c r="D64" s="174" t="s">
        <v>182</v>
      </c>
      <c r="E64" s="174" t="s">
        <v>183</v>
      </c>
      <c r="F64" s="17"/>
      <c r="G64" s="17"/>
      <c r="H64" s="153"/>
    </row>
    <row r="65" spans="1:14" x14ac:dyDescent="0.25">
      <c r="A65" s="151" t="s">
        <v>184</v>
      </c>
      <c r="B65" s="175">
        <v>3.363</v>
      </c>
      <c r="C65" s="173">
        <f>B65*$C$56</f>
        <v>7.7349000000000001E-2</v>
      </c>
      <c r="D65" s="175">
        <v>6.2530000000000001</v>
      </c>
      <c r="E65" s="173">
        <f>D65*$C$56</f>
        <v>0.143819</v>
      </c>
      <c r="F65" s="17"/>
      <c r="G65" s="17"/>
      <c r="H65" s="153"/>
    </row>
    <row r="66" spans="1:14" x14ac:dyDescent="0.25">
      <c r="A66" s="151"/>
      <c r="B66" s="178" t="s">
        <v>185</v>
      </c>
      <c r="C66" s="178" t="s">
        <v>186</v>
      </c>
      <c r="D66" s="17"/>
      <c r="E66" s="17"/>
      <c r="F66" s="168" t="s">
        <v>187</v>
      </c>
      <c r="G66" s="17"/>
      <c r="H66" s="153"/>
    </row>
    <row r="67" spans="1:14" x14ac:dyDescent="0.25">
      <c r="A67" s="151" t="s">
        <v>188</v>
      </c>
      <c r="B67" s="175">
        <v>0</v>
      </c>
      <c r="C67" s="173">
        <f>B67*$C$56</f>
        <v>0</v>
      </c>
      <c r="D67" s="17"/>
      <c r="E67" s="17"/>
      <c r="F67" s="179">
        <v>1</v>
      </c>
      <c r="G67" s="17"/>
      <c r="H67" s="153"/>
    </row>
    <row r="68" spans="1:14" x14ac:dyDescent="0.25">
      <c r="A68" s="151" t="s">
        <v>189</v>
      </c>
      <c r="B68" s="175">
        <f>B67*(1-F67)</f>
        <v>0</v>
      </c>
      <c r="C68" s="173">
        <f>B68*$C$56</f>
        <v>0</v>
      </c>
      <c r="D68" s="17"/>
      <c r="E68" s="17"/>
      <c r="F68" s="17"/>
      <c r="G68" s="17"/>
      <c r="H68" s="153"/>
    </row>
    <row r="69" spans="1:14" x14ac:dyDescent="0.25">
      <c r="A69" s="151"/>
      <c r="B69" s="178" t="s">
        <v>190</v>
      </c>
      <c r="C69" s="178" t="s">
        <v>191</v>
      </c>
      <c r="D69" s="17"/>
      <c r="E69" s="17"/>
      <c r="F69" s="17"/>
      <c r="G69" s="17"/>
      <c r="H69" s="153"/>
    </row>
    <row r="70" spans="1:14" x14ac:dyDescent="0.25">
      <c r="A70" s="151" t="s">
        <v>192</v>
      </c>
      <c r="B70" s="175">
        <v>784.4</v>
      </c>
      <c r="C70" s="173">
        <f>B70*$C$56</f>
        <v>18.0412</v>
      </c>
      <c r="D70" s="17"/>
      <c r="E70" s="17"/>
      <c r="F70" s="17"/>
      <c r="G70" s="17"/>
      <c r="H70" s="153"/>
    </row>
    <row r="71" spans="1:14" ht="14.25" thickBot="1" x14ac:dyDescent="0.3">
      <c r="A71" s="154" t="s">
        <v>189</v>
      </c>
      <c r="B71" s="176">
        <f>B70*(1-F67)</f>
        <v>0</v>
      </c>
      <c r="C71" s="177">
        <f>B71*$C$56</f>
        <v>0</v>
      </c>
      <c r="D71" s="156"/>
      <c r="E71" s="156"/>
      <c r="F71" s="156"/>
      <c r="G71" s="156"/>
      <c r="H71" s="157"/>
    </row>
    <row r="73" spans="1:14" ht="14.25" thickBot="1" x14ac:dyDescent="0.3">
      <c r="J73" s="15"/>
      <c r="K73" s="15"/>
      <c r="L73" s="15"/>
      <c r="M73" s="15"/>
    </row>
    <row r="74" spans="1:14" x14ac:dyDescent="0.25">
      <c r="A74" s="146" t="s">
        <v>176</v>
      </c>
      <c r="B74" s="147">
        <v>0</v>
      </c>
      <c r="C74" s="148"/>
      <c r="D74" s="149" t="s">
        <v>177</v>
      </c>
      <c r="E74" s="149"/>
      <c r="F74" s="149"/>
      <c r="G74" s="149"/>
      <c r="H74" s="150"/>
      <c r="J74" s="15"/>
      <c r="K74" s="15"/>
      <c r="L74" s="15"/>
      <c r="M74" s="15"/>
    </row>
    <row r="75" spans="1:14" x14ac:dyDescent="0.25">
      <c r="A75" s="151" t="s">
        <v>171</v>
      </c>
      <c r="B75" s="152">
        <v>0</v>
      </c>
      <c r="C75" s="169"/>
      <c r="D75" s="8" t="s">
        <v>178</v>
      </c>
      <c r="E75" s="17"/>
      <c r="F75" s="17"/>
      <c r="G75" s="17"/>
      <c r="H75" s="153"/>
    </row>
    <row r="76" spans="1:14" x14ac:dyDescent="0.25">
      <c r="A76" s="151" t="s">
        <v>173</v>
      </c>
      <c r="B76" s="152">
        <v>0</v>
      </c>
      <c r="C76" s="169"/>
      <c r="D76" s="8" t="s">
        <v>172</v>
      </c>
      <c r="E76" s="17"/>
      <c r="F76" s="17"/>
      <c r="G76" s="17"/>
      <c r="H76" s="153"/>
      <c r="K76" s="236" t="s">
        <v>71</v>
      </c>
      <c r="L76" s="236"/>
      <c r="M76" s="236"/>
      <c r="N76" s="236"/>
    </row>
    <row r="77" spans="1:14" ht="14.25" thickBot="1" x14ac:dyDescent="0.3">
      <c r="A77" s="154" t="s">
        <v>179</v>
      </c>
      <c r="B77" s="155">
        <v>0</v>
      </c>
      <c r="C77" s="156"/>
      <c r="D77" s="156"/>
      <c r="E77" s="156"/>
      <c r="F77" s="156"/>
      <c r="G77" s="156"/>
      <c r="H77" s="157"/>
      <c r="K77" s="15" t="s">
        <v>149</v>
      </c>
      <c r="L77" s="15" t="s">
        <v>148</v>
      </c>
      <c r="M77" s="15" t="s">
        <v>149</v>
      </c>
      <c r="N77" s="15" t="s">
        <v>148</v>
      </c>
    </row>
    <row r="78" spans="1:14" ht="36" customHeight="1" x14ac:dyDescent="0.25">
      <c r="A78" s="7" t="s">
        <v>95</v>
      </c>
      <c r="B78" s="7" t="s">
        <v>196</v>
      </c>
      <c r="C78" s="96" t="s">
        <v>117</v>
      </c>
      <c r="D78" s="96" t="s">
        <v>118</v>
      </c>
      <c r="E78" s="7" t="s">
        <v>89</v>
      </c>
      <c r="F78" s="7" t="s">
        <v>192</v>
      </c>
      <c r="H78" s="7" t="s">
        <v>196</v>
      </c>
      <c r="I78" s="7" t="s">
        <v>119</v>
      </c>
      <c r="K78" s="7" t="s">
        <v>196</v>
      </c>
      <c r="L78" s="7" t="s">
        <v>196</v>
      </c>
      <c r="M78" s="7" t="s">
        <v>119</v>
      </c>
      <c r="N78" s="7" t="s">
        <v>119</v>
      </c>
    </row>
    <row r="79" spans="1:14" x14ac:dyDescent="0.25">
      <c r="A79" s="9"/>
      <c r="B79" s="9" t="s">
        <v>12</v>
      </c>
      <c r="C79" s="9" t="s">
        <v>7</v>
      </c>
      <c r="D79" s="9" t="s">
        <v>7</v>
      </c>
      <c r="E79" s="9" t="s">
        <v>42</v>
      </c>
      <c r="F79" s="9" t="s">
        <v>1</v>
      </c>
      <c r="H79" s="9" t="s">
        <v>1</v>
      </c>
      <c r="I79" s="9" t="s">
        <v>1</v>
      </c>
      <c r="K79" s="9" t="s">
        <v>1</v>
      </c>
      <c r="L79" s="9" t="s">
        <v>1</v>
      </c>
      <c r="M79" s="9" t="s">
        <v>1</v>
      </c>
      <c r="N79" s="9" t="s">
        <v>1</v>
      </c>
    </row>
    <row r="80" spans="1:14" s="17" customFormat="1" x14ac:dyDescent="0.25">
      <c r="A80" s="9">
        <v>2022</v>
      </c>
      <c r="B80" s="24">
        <f>C62</f>
        <v>1.7222399999999998</v>
      </c>
      <c r="C80" s="24">
        <f>C65</f>
        <v>7.7349000000000001E-2</v>
      </c>
      <c r="D80" s="24">
        <f>E65</f>
        <v>0.143819</v>
      </c>
      <c r="E80" s="24">
        <f>C68*12</f>
        <v>0</v>
      </c>
      <c r="F80" s="24">
        <f>C71*12</f>
        <v>0</v>
      </c>
      <c r="H80" s="25">
        <f>B80*$C$7/100*$C$41</f>
        <v>5166.7199999999984</v>
      </c>
      <c r="I80" s="25">
        <f>($C80*$C$29+$D80*$C$30)*$C$19*$C$41+$E80*$C$27+$F80</f>
        <v>503.976</v>
      </c>
      <c r="K80" s="25">
        <f t="shared" ref="K80:K108" si="0">B80*$C$7/100*$H$41</f>
        <v>8611.1999999999989</v>
      </c>
      <c r="L80" s="25">
        <f>B80*$C$7/100*$I$41</f>
        <v>2583.3599999999992</v>
      </c>
      <c r="M80" s="25">
        <f>($C80*$C$29+$D80*$C$30)*$C$19*$H$41+$E80*$C$27+$F80</f>
        <v>839.96</v>
      </c>
      <c r="N80" s="25">
        <f>($C80*$C$29+$D80*$C$30)*$C$19*$I$41+$E80*$C$27+$F80</f>
        <v>251.988</v>
      </c>
    </row>
    <row r="81" spans="1:14" x14ac:dyDescent="0.25">
      <c r="A81" s="9">
        <v>2023</v>
      </c>
      <c r="B81" s="24">
        <f>B80*(1+$B$74)</f>
        <v>1.7222399999999998</v>
      </c>
      <c r="C81" s="24">
        <f>C80*(1+$B$75)</f>
        <v>7.7349000000000001E-2</v>
      </c>
      <c r="D81" s="24">
        <f>D80*(1+$B$75)</f>
        <v>0.143819</v>
      </c>
      <c r="E81" s="24">
        <f t="shared" ref="E81:E108" si="1">E80*(1+$B$76)</f>
        <v>0</v>
      </c>
      <c r="F81" s="24">
        <f t="shared" ref="F81:F108" si="2">F80*(1+$B$77)</f>
        <v>0</v>
      </c>
      <c r="H81" s="25">
        <f t="shared" ref="H81:H108" si="3">B81*$C$7/100*$C$41</f>
        <v>5166.7199999999984</v>
      </c>
      <c r="I81" s="25">
        <f>($C81*$C$29+$D81*$C$30)*$C$19*$C$41+$E81*$C$27+$F81</f>
        <v>503.976</v>
      </c>
      <c r="K81" s="25">
        <f t="shared" si="0"/>
        <v>8611.1999999999989</v>
      </c>
      <c r="L81" s="25">
        <f>B81*$C$7/100*$I$41</f>
        <v>2583.3599999999992</v>
      </c>
      <c r="M81" s="25">
        <f t="shared" ref="M81:M108" si="4">($C81*$C$29+$D81*$C$30)*$C$19*$H$41+$E81*$C$27+$F81</f>
        <v>839.96</v>
      </c>
      <c r="N81" s="25">
        <f t="shared" ref="N81:N108" si="5">($C81*$C$29+$D81*$C$30)*$C$19*$I$41+$E81*$C$27+$F81</f>
        <v>251.988</v>
      </c>
    </row>
    <row r="82" spans="1:14" x14ac:dyDescent="0.25">
      <c r="A82" s="9">
        <v>2024</v>
      </c>
      <c r="B82" s="24">
        <f t="shared" ref="B82:B108" si="6">B81*(1+$B$74)</f>
        <v>1.7222399999999998</v>
      </c>
      <c r="C82" s="24">
        <f t="shared" ref="C82:C108" si="7">C81*(1+$B$75)</f>
        <v>7.7349000000000001E-2</v>
      </c>
      <c r="D82" s="24">
        <f t="shared" ref="D82:D108" si="8">D81*(1+$B$75)</f>
        <v>0.143819</v>
      </c>
      <c r="E82" s="24">
        <f t="shared" si="1"/>
        <v>0</v>
      </c>
      <c r="F82" s="24">
        <f t="shared" si="2"/>
        <v>0</v>
      </c>
      <c r="H82" s="25">
        <f t="shared" si="3"/>
        <v>5166.7199999999984</v>
      </c>
      <c r="I82" s="25">
        <f t="shared" ref="I82:I108" si="9">($C82*$C$29+$D82*$C$30)*$C$19*$C$41+$E82*$C$27+$F82</f>
        <v>503.976</v>
      </c>
      <c r="K82" s="25">
        <f t="shared" si="0"/>
        <v>8611.1999999999989</v>
      </c>
      <c r="L82" s="25">
        <f t="shared" ref="L82:L108" si="10">B82*$C$7/100*$I$41</f>
        <v>2583.3599999999992</v>
      </c>
      <c r="M82" s="25">
        <f t="shared" si="4"/>
        <v>839.96</v>
      </c>
      <c r="N82" s="25">
        <f t="shared" si="5"/>
        <v>251.988</v>
      </c>
    </row>
    <row r="83" spans="1:14" x14ac:dyDescent="0.25">
      <c r="A83" s="9">
        <v>2025</v>
      </c>
      <c r="B83" s="24">
        <f t="shared" si="6"/>
        <v>1.7222399999999998</v>
      </c>
      <c r="C83" s="24">
        <f t="shared" si="7"/>
        <v>7.7349000000000001E-2</v>
      </c>
      <c r="D83" s="24">
        <f t="shared" si="8"/>
        <v>0.143819</v>
      </c>
      <c r="E83" s="24">
        <f t="shared" si="1"/>
        <v>0</v>
      </c>
      <c r="F83" s="24">
        <f t="shared" si="2"/>
        <v>0</v>
      </c>
      <c r="H83" s="25">
        <f t="shared" si="3"/>
        <v>5166.7199999999984</v>
      </c>
      <c r="I83" s="25">
        <f t="shared" si="9"/>
        <v>503.976</v>
      </c>
      <c r="K83" s="25">
        <f t="shared" si="0"/>
        <v>8611.1999999999989</v>
      </c>
      <c r="L83" s="25">
        <f t="shared" si="10"/>
        <v>2583.3599999999992</v>
      </c>
      <c r="M83" s="25">
        <f t="shared" si="4"/>
        <v>839.96</v>
      </c>
      <c r="N83" s="25">
        <f t="shared" si="5"/>
        <v>251.988</v>
      </c>
    </row>
    <row r="84" spans="1:14" x14ac:dyDescent="0.25">
      <c r="A84" s="9">
        <v>2026</v>
      </c>
      <c r="B84" s="24">
        <f t="shared" si="6"/>
        <v>1.7222399999999998</v>
      </c>
      <c r="C84" s="24">
        <f t="shared" si="7"/>
        <v>7.7349000000000001E-2</v>
      </c>
      <c r="D84" s="24">
        <f t="shared" si="8"/>
        <v>0.143819</v>
      </c>
      <c r="E84" s="24">
        <f t="shared" si="1"/>
        <v>0</v>
      </c>
      <c r="F84" s="24">
        <f t="shared" si="2"/>
        <v>0</v>
      </c>
      <c r="H84" s="25">
        <f t="shared" si="3"/>
        <v>5166.7199999999984</v>
      </c>
      <c r="I84" s="25">
        <f t="shared" si="9"/>
        <v>503.976</v>
      </c>
      <c r="K84" s="25">
        <f t="shared" si="0"/>
        <v>8611.1999999999989</v>
      </c>
      <c r="L84" s="25">
        <f t="shared" si="10"/>
        <v>2583.3599999999992</v>
      </c>
      <c r="M84" s="25">
        <f t="shared" si="4"/>
        <v>839.96</v>
      </c>
      <c r="N84" s="25">
        <f t="shared" si="5"/>
        <v>251.988</v>
      </c>
    </row>
    <row r="85" spans="1:14" x14ac:dyDescent="0.25">
      <c r="A85" s="9">
        <v>2027</v>
      </c>
      <c r="B85" s="24">
        <f t="shared" si="6"/>
        <v>1.7222399999999998</v>
      </c>
      <c r="C85" s="24">
        <f t="shared" si="7"/>
        <v>7.7349000000000001E-2</v>
      </c>
      <c r="D85" s="24">
        <f t="shared" si="8"/>
        <v>0.143819</v>
      </c>
      <c r="E85" s="24">
        <f t="shared" si="1"/>
        <v>0</v>
      </c>
      <c r="F85" s="24">
        <f t="shared" si="2"/>
        <v>0</v>
      </c>
      <c r="H85" s="25">
        <f t="shared" si="3"/>
        <v>5166.7199999999984</v>
      </c>
      <c r="I85" s="25">
        <f t="shared" si="9"/>
        <v>503.976</v>
      </c>
      <c r="K85" s="25">
        <f t="shared" si="0"/>
        <v>8611.1999999999989</v>
      </c>
      <c r="L85" s="25">
        <f t="shared" si="10"/>
        <v>2583.3599999999992</v>
      </c>
      <c r="M85" s="25">
        <f t="shared" si="4"/>
        <v>839.96</v>
      </c>
      <c r="N85" s="25">
        <f t="shared" si="5"/>
        <v>251.988</v>
      </c>
    </row>
    <row r="86" spans="1:14" x14ac:dyDescent="0.25">
      <c r="A86" s="9">
        <v>2028</v>
      </c>
      <c r="B86" s="24">
        <f t="shared" si="6"/>
        <v>1.7222399999999998</v>
      </c>
      <c r="C86" s="24">
        <f t="shared" si="7"/>
        <v>7.7349000000000001E-2</v>
      </c>
      <c r="D86" s="24">
        <f t="shared" si="8"/>
        <v>0.143819</v>
      </c>
      <c r="E86" s="24">
        <f t="shared" si="1"/>
        <v>0</v>
      </c>
      <c r="F86" s="24">
        <f t="shared" si="2"/>
        <v>0</v>
      </c>
      <c r="H86" s="25">
        <f t="shared" si="3"/>
        <v>5166.7199999999984</v>
      </c>
      <c r="I86" s="25">
        <f t="shared" si="9"/>
        <v>503.976</v>
      </c>
      <c r="K86" s="25">
        <f t="shared" si="0"/>
        <v>8611.1999999999989</v>
      </c>
      <c r="L86" s="25">
        <f t="shared" si="10"/>
        <v>2583.3599999999992</v>
      </c>
      <c r="M86" s="25">
        <f t="shared" si="4"/>
        <v>839.96</v>
      </c>
      <c r="N86" s="25">
        <f t="shared" si="5"/>
        <v>251.988</v>
      </c>
    </row>
    <row r="87" spans="1:14" x14ac:dyDescent="0.25">
      <c r="A87" s="9">
        <v>2029</v>
      </c>
      <c r="B87" s="24">
        <f t="shared" si="6"/>
        <v>1.7222399999999998</v>
      </c>
      <c r="C87" s="24">
        <f t="shared" si="7"/>
        <v>7.7349000000000001E-2</v>
      </c>
      <c r="D87" s="24">
        <f t="shared" si="8"/>
        <v>0.143819</v>
      </c>
      <c r="E87" s="24">
        <f t="shared" si="1"/>
        <v>0</v>
      </c>
      <c r="F87" s="24">
        <f t="shared" si="2"/>
        <v>0</v>
      </c>
      <c r="H87" s="25">
        <f t="shared" si="3"/>
        <v>5166.7199999999984</v>
      </c>
      <c r="I87" s="25">
        <f t="shared" si="9"/>
        <v>503.976</v>
      </c>
      <c r="K87" s="25">
        <f t="shared" si="0"/>
        <v>8611.1999999999989</v>
      </c>
      <c r="L87" s="25">
        <f t="shared" si="10"/>
        <v>2583.3599999999992</v>
      </c>
      <c r="M87" s="25">
        <f t="shared" si="4"/>
        <v>839.96</v>
      </c>
      <c r="N87" s="25">
        <f t="shared" si="5"/>
        <v>251.988</v>
      </c>
    </row>
    <row r="88" spans="1:14" x14ac:dyDescent="0.25">
      <c r="A88" s="9">
        <v>2030</v>
      </c>
      <c r="B88" s="24">
        <f t="shared" si="6"/>
        <v>1.7222399999999998</v>
      </c>
      <c r="C88" s="24">
        <f t="shared" si="7"/>
        <v>7.7349000000000001E-2</v>
      </c>
      <c r="D88" s="24">
        <f t="shared" si="8"/>
        <v>0.143819</v>
      </c>
      <c r="E88" s="24">
        <f t="shared" si="1"/>
        <v>0</v>
      </c>
      <c r="F88" s="24">
        <f t="shared" si="2"/>
        <v>0</v>
      </c>
      <c r="H88" s="25">
        <f t="shared" si="3"/>
        <v>5166.7199999999984</v>
      </c>
      <c r="I88" s="25">
        <f t="shared" si="9"/>
        <v>503.976</v>
      </c>
      <c r="K88" s="25">
        <f t="shared" si="0"/>
        <v>8611.1999999999989</v>
      </c>
      <c r="L88" s="25">
        <f t="shared" si="10"/>
        <v>2583.3599999999992</v>
      </c>
      <c r="M88" s="25">
        <f t="shared" si="4"/>
        <v>839.96</v>
      </c>
      <c r="N88" s="25">
        <f t="shared" si="5"/>
        <v>251.988</v>
      </c>
    </row>
    <row r="89" spans="1:14" x14ac:dyDescent="0.25">
      <c r="A89" s="9">
        <v>2031</v>
      </c>
      <c r="B89" s="24">
        <f t="shared" si="6"/>
        <v>1.7222399999999998</v>
      </c>
      <c r="C89" s="24">
        <f t="shared" si="7"/>
        <v>7.7349000000000001E-2</v>
      </c>
      <c r="D89" s="24">
        <f t="shared" si="8"/>
        <v>0.143819</v>
      </c>
      <c r="E89" s="24">
        <f t="shared" si="1"/>
        <v>0</v>
      </c>
      <c r="F89" s="24">
        <f t="shared" si="2"/>
        <v>0</v>
      </c>
      <c r="H89" s="25">
        <f t="shared" si="3"/>
        <v>5166.7199999999984</v>
      </c>
      <c r="I89" s="25">
        <f t="shared" si="9"/>
        <v>503.976</v>
      </c>
      <c r="K89" s="25">
        <f t="shared" si="0"/>
        <v>8611.1999999999989</v>
      </c>
      <c r="L89" s="25">
        <f t="shared" si="10"/>
        <v>2583.3599999999992</v>
      </c>
      <c r="M89" s="25">
        <f t="shared" si="4"/>
        <v>839.96</v>
      </c>
      <c r="N89" s="25">
        <f t="shared" si="5"/>
        <v>251.988</v>
      </c>
    </row>
    <row r="90" spans="1:14" x14ac:dyDescent="0.25">
      <c r="A90" s="9">
        <v>2032</v>
      </c>
      <c r="B90" s="24">
        <f t="shared" si="6"/>
        <v>1.7222399999999998</v>
      </c>
      <c r="C90" s="24">
        <f t="shared" si="7"/>
        <v>7.7349000000000001E-2</v>
      </c>
      <c r="D90" s="24">
        <f t="shared" si="8"/>
        <v>0.143819</v>
      </c>
      <c r="E90" s="24">
        <f t="shared" si="1"/>
        <v>0</v>
      </c>
      <c r="F90" s="24">
        <f t="shared" si="2"/>
        <v>0</v>
      </c>
      <c r="H90" s="25">
        <f t="shared" si="3"/>
        <v>5166.7199999999984</v>
      </c>
      <c r="I90" s="25">
        <f t="shared" si="9"/>
        <v>503.976</v>
      </c>
      <c r="K90" s="25">
        <f t="shared" si="0"/>
        <v>8611.1999999999989</v>
      </c>
      <c r="L90" s="25">
        <f t="shared" si="10"/>
        <v>2583.3599999999992</v>
      </c>
      <c r="M90" s="25">
        <f t="shared" si="4"/>
        <v>839.96</v>
      </c>
      <c r="N90" s="25">
        <f t="shared" si="5"/>
        <v>251.988</v>
      </c>
    </row>
    <row r="91" spans="1:14" x14ac:dyDescent="0.25">
      <c r="A91" s="9">
        <v>2033</v>
      </c>
      <c r="B91" s="24">
        <f t="shared" si="6"/>
        <v>1.7222399999999998</v>
      </c>
      <c r="C91" s="24">
        <f t="shared" si="7"/>
        <v>7.7349000000000001E-2</v>
      </c>
      <c r="D91" s="24">
        <f t="shared" si="8"/>
        <v>0.143819</v>
      </c>
      <c r="E91" s="24">
        <f t="shared" si="1"/>
        <v>0</v>
      </c>
      <c r="F91" s="24">
        <f t="shared" si="2"/>
        <v>0</v>
      </c>
      <c r="H91" s="25">
        <f t="shared" si="3"/>
        <v>5166.7199999999984</v>
      </c>
      <c r="I91" s="25">
        <f t="shared" si="9"/>
        <v>503.976</v>
      </c>
      <c r="K91" s="25">
        <f t="shared" si="0"/>
        <v>8611.1999999999989</v>
      </c>
      <c r="L91" s="25">
        <f t="shared" si="10"/>
        <v>2583.3599999999992</v>
      </c>
      <c r="M91" s="25">
        <f t="shared" si="4"/>
        <v>839.96</v>
      </c>
      <c r="N91" s="25">
        <f t="shared" si="5"/>
        <v>251.988</v>
      </c>
    </row>
    <row r="92" spans="1:14" x14ac:dyDescent="0.25">
      <c r="A92" s="9">
        <v>2034</v>
      </c>
      <c r="B92" s="24">
        <f t="shared" si="6"/>
        <v>1.7222399999999998</v>
      </c>
      <c r="C92" s="24">
        <f t="shared" si="7"/>
        <v>7.7349000000000001E-2</v>
      </c>
      <c r="D92" s="24">
        <f t="shared" si="8"/>
        <v>0.143819</v>
      </c>
      <c r="E92" s="24">
        <f t="shared" si="1"/>
        <v>0</v>
      </c>
      <c r="F92" s="24">
        <f t="shared" si="2"/>
        <v>0</v>
      </c>
      <c r="H92" s="25">
        <f t="shared" si="3"/>
        <v>5166.7199999999984</v>
      </c>
      <c r="I92" s="25">
        <f t="shared" si="9"/>
        <v>503.976</v>
      </c>
      <c r="K92" s="25">
        <f t="shared" si="0"/>
        <v>8611.1999999999989</v>
      </c>
      <c r="L92" s="25">
        <f t="shared" si="10"/>
        <v>2583.3599999999992</v>
      </c>
      <c r="M92" s="25">
        <f t="shared" si="4"/>
        <v>839.96</v>
      </c>
      <c r="N92" s="25">
        <f t="shared" si="5"/>
        <v>251.988</v>
      </c>
    </row>
    <row r="93" spans="1:14" x14ac:dyDescent="0.25">
      <c r="A93" s="9">
        <v>2035</v>
      </c>
      <c r="B93" s="24">
        <f t="shared" si="6"/>
        <v>1.7222399999999998</v>
      </c>
      <c r="C93" s="24">
        <f t="shared" si="7"/>
        <v>7.7349000000000001E-2</v>
      </c>
      <c r="D93" s="24">
        <f t="shared" si="8"/>
        <v>0.143819</v>
      </c>
      <c r="E93" s="24">
        <f t="shared" si="1"/>
        <v>0</v>
      </c>
      <c r="F93" s="24">
        <f t="shared" si="2"/>
        <v>0</v>
      </c>
      <c r="H93" s="25">
        <f t="shared" si="3"/>
        <v>5166.7199999999984</v>
      </c>
      <c r="I93" s="25">
        <f t="shared" si="9"/>
        <v>503.976</v>
      </c>
      <c r="K93" s="25">
        <f t="shared" si="0"/>
        <v>8611.1999999999989</v>
      </c>
      <c r="L93" s="25">
        <f t="shared" si="10"/>
        <v>2583.3599999999992</v>
      </c>
      <c r="M93" s="25">
        <f t="shared" si="4"/>
        <v>839.96</v>
      </c>
      <c r="N93" s="25">
        <f t="shared" si="5"/>
        <v>251.988</v>
      </c>
    </row>
    <row r="94" spans="1:14" x14ac:dyDescent="0.25">
      <c r="A94" s="9">
        <v>2036</v>
      </c>
      <c r="B94" s="24">
        <f t="shared" si="6"/>
        <v>1.7222399999999998</v>
      </c>
      <c r="C94" s="24">
        <f t="shared" si="7"/>
        <v>7.7349000000000001E-2</v>
      </c>
      <c r="D94" s="24">
        <f t="shared" si="8"/>
        <v>0.143819</v>
      </c>
      <c r="E94" s="24">
        <f t="shared" si="1"/>
        <v>0</v>
      </c>
      <c r="F94" s="24">
        <f t="shared" si="2"/>
        <v>0</v>
      </c>
      <c r="H94" s="25">
        <f t="shared" si="3"/>
        <v>5166.7199999999984</v>
      </c>
      <c r="I94" s="25">
        <f t="shared" si="9"/>
        <v>503.976</v>
      </c>
      <c r="K94" s="25">
        <f t="shared" si="0"/>
        <v>8611.1999999999989</v>
      </c>
      <c r="L94" s="25">
        <f t="shared" si="10"/>
        <v>2583.3599999999992</v>
      </c>
      <c r="M94" s="25">
        <f t="shared" si="4"/>
        <v>839.96</v>
      </c>
      <c r="N94" s="25">
        <f t="shared" si="5"/>
        <v>251.988</v>
      </c>
    </row>
    <row r="95" spans="1:14" x14ac:dyDescent="0.25">
      <c r="A95" s="9">
        <v>2037</v>
      </c>
      <c r="B95" s="24">
        <f t="shared" si="6"/>
        <v>1.7222399999999998</v>
      </c>
      <c r="C95" s="24">
        <f t="shared" si="7"/>
        <v>7.7349000000000001E-2</v>
      </c>
      <c r="D95" s="24">
        <f t="shared" si="8"/>
        <v>0.143819</v>
      </c>
      <c r="E95" s="24">
        <f t="shared" si="1"/>
        <v>0</v>
      </c>
      <c r="F95" s="24">
        <f t="shared" si="2"/>
        <v>0</v>
      </c>
      <c r="H95" s="25">
        <f t="shared" si="3"/>
        <v>5166.7199999999984</v>
      </c>
      <c r="I95" s="25">
        <f t="shared" si="9"/>
        <v>503.976</v>
      </c>
      <c r="K95" s="25">
        <f t="shared" si="0"/>
        <v>8611.1999999999989</v>
      </c>
      <c r="L95" s="25">
        <f t="shared" si="10"/>
        <v>2583.3599999999992</v>
      </c>
      <c r="M95" s="25">
        <f t="shared" si="4"/>
        <v>839.96</v>
      </c>
      <c r="N95" s="25">
        <f t="shared" si="5"/>
        <v>251.988</v>
      </c>
    </row>
    <row r="96" spans="1:14" x14ac:dyDescent="0.25">
      <c r="A96" s="9">
        <v>2038</v>
      </c>
      <c r="B96" s="24">
        <f t="shared" si="6"/>
        <v>1.7222399999999998</v>
      </c>
      <c r="C96" s="24">
        <f t="shared" si="7"/>
        <v>7.7349000000000001E-2</v>
      </c>
      <c r="D96" s="24">
        <f t="shared" si="8"/>
        <v>0.143819</v>
      </c>
      <c r="E96" s="24">
        <f t="shared" si="1"/>
        <v>0</v>
      </c>
      <c r="F96" s="24">
        <f t="shared" si="2"/>
        <v>0</v>
      </c>
      <c r="H96" s="25">
        <f t="shared" si="3"/>
        <v>5166.7199999999984</v>
      </c>
      <c r="I96" s="25">
        <f t="shared" si="9"/>
        <v>503.976</v>
      </c>
      <c r="K96" s="25">
        <f t="shared" si="0"/>
        <v>8611.1999999999989</v>
      </c>
      <c r="L96" s="25">
        <f t="shared" si="10"/>
        <v>2583.3599999999992</v>
      </c>
      <c r="M96" s="25">
        <f t="shared" si="4"/>
        <v>839.96</v>
      </c>
      <c r="N96" s="25">
        <f t="shared" si="5"/>
        <v>251.988</v>
      </c>
    </row>
    <row r="97" spans="1:14" x14ac:dyDescent="0.25">
      <c r="A97" s="9">
        <v>2039</v>
      </c>
      <c r="B97" s="24">
        <f t="shared" si="6"/>
        <v>1.7222399999999998</v>
      </c>
      <c r="C97" s="24">
        <f t="shared" si="7"/>
        <v>7.7349000000000001E-2</v>
      </c>
      <c r="D97" s="24">
        <f t="shared" si="8"/>
        <v>0.143819</v>
      </c>
      <c r="E97" s="24">
        <f t="shared" si="1"/>
        <v>0</v>
      </c>
      <c r="F97" s="24">
        <f t="shared" si="2"/>
        <v>0</v>
      </c>
      <c r="H97" s="25">
        <f t="shared" si="3"/>
        <v>5166.7199999999984</v>
      </c>
      <c r="I97" s="25">
        <f t="shared" si="9"/>
        <v>503.976</v>
      </c>
      <c r="K97" s="25">
        <f t="shared" si="0"/>
        <v>8611.1999999999989</v>
      </c>
      <c r="L97" s="25">
        <f t="shared" si="10"/>
        <v>2583.3599999999992</v>
      </c>
      <c r="M97" s="25">
        <f t="shared" si="4"/>
        <v>839.96</v>
      </c>
      <c r="N97" s="25">
        <f t="shared" si="5"/>
        <v>251.988</v>
      </c>
    </row>
    <row r="98" spans="1:14" x14ac:dyDescent="0.25">
      <c r="A98" s="9">
        <v>2040</v>
      </c>
      <c r="B98" s="24">
        <f t="shared" si="6"/>
        <v>1.7222399999999998</v>
      </c>
      <c r="C98" s="24">
        <f t="shared" si="7"/>
        <v>7.7349000000000001E-2</v>
      </c>
      <c r="D98" s="24">
        <f t="shared" si="8"/>
        <v>0.143819</v>
      </c>
      <c r="E98" s="24">
        <f t="shared" si="1"/>
        <v>0</v>
      </c>
      <c r="F98" s="24">
        <f t="shared" si="2"/>
        <v>0</v>
      </c>
      <c r="H98" s="25">
        <f t="shared" si="3"/>
        <v>5166.7199999999984</v>
      </c>
      <c r="I98" s="25">
        <f t="shared" si="9"/>
        <v>503.976</v>
      </c>
      <c r="K98" s="25">
        <f t="shared" si="0"/>
        <v>8611.1999999999989</v>
      </c>
      <c r="L98" s="25">
        <f t="shared" si="10"/>
        <v>2583.3599999999992</v>
      </c>
      <c r="M98" s="25">
        <f t="shared" si="4"/>
        <v>839.96</v>
      </c>
      <c r="N98" s="25">
        <f t="shared" si="5"/>
        <v>251.988</v>
      </c>
    </row>
    <row r="99" spans="1:14" x14ac:dyDescent="0.25">
      <c r="A99" s="9">
        <v>2041</v>
      </c>
      <c r="B99" s="24">
        <f t="shared" si="6"/>
        <v>1.7222399999999998</v>
      </c>
      <c r="C99" s="24">
        <f t="shared" si="7"/>
        <v>7.7349000000000001E-2</v>
      </c>
      <c r="D99" s="24">
        <f t="shared" si="8"/>
        <v>0.143819</v>
      </c>
      <c r="E99" s="24">
        <f t="shared" si="1"/>
        <v>0</v>
      </c>
      <c r="F99" s="24">
        <f t="shared" si="2"/>
        <v>0</v>
      </c>
      <c r="H99" s="25">
        <f t="shared" si="3"/>
        <v>5166.7199999999984</v>
      </c>
      <c r="I99" s="25">
        <f t="shared" si="9"/>
        <v>503.976</v>
      </c>
      <c r="K99" s="25">
        <f t="shared" si="0"/>
        <v>8611.1999999999989</v>
      </c>
      <c r="L99" s="25">
        <f t="shared" si="10"/>
        <v>2583.3599999999992</v>
      </c>
      <c r="M99" s="25">
        <f t="shared" si="4"/>
        <v>839.96</v>
      </c>
      <c r="N99" s="25">
        <f t="shared" si="5"/>
        <v>251.988</v>
      </c>
    </row>
    <row r="100" spans="1:14" x14ac:dyDescent="0.25">
      <c r="A100" s="9">
        <v>2042</v>
      </c>
      <c r="B100" s="24">
        <f t="shared" si="6"/>
        <v>1.7222399999999998</v>
      </c>
      <c r="C100" s="24">
        <f t="shared" si="7"/>
        <v>7.7349000000000001E-2</v>
      </c>
      <c r="D100" s="24">
        <f t="shared" si="8"/>
        <v>0.143819</v>
      </c>
      <c r="E100" s="24">
        <f t="shared" si="1"/>
        <v>0</v>
      </c>
      <c r="F100" s="24">
        <f t="shared" si="2"/>
        <v>0</v>
      </c>
      <c r="H100" s="25">
        <f t="shared" si="3"/>
        <v>5166.7199999999984</v>
      </c>
      <c r="I100" s="25">
        <f t="shared" si="9"/>
        <v>503.976</v>
      </c>
      <c r="K100" s="25">
        <f t="shared" si="0"/>
        <v>8611.1999999999989</v>
      </c>
      <c r="L100" s="25">
        <f t="shared" si="10"/>
        <v>2583.3599999999992</v>
      </c>
      <c r="M100" s="25">
        <f t="shared" si="4"/>
        <v>839.96</v>
      </c>
      <c r="N100" s="25">
        <f t="shared" si="5"/>
        <v>251.988</v>
      </c>
    </row>
    <row r="101" spans="1:14" x14ac:dyDescent="0.25">
      <c r="A101" s="9">
        <v>2043</v>
      </c>
      <c r="B101" s="24">
        <f t="shared" si="6"/>
        <v>1.7222399999999998</v>
      </c>
      <c r="C101" s="24">
        <f t="shared" si="7"/>
        <v>7.7349000000000001E-2</v>
      </c>
      <c r="D101" s="24">
        <f t="shared" si="8"/>
        <v>0.143819</v>
      </c>
      <c r="E101" s="24">
        <f t="shared" si="1"/>
        <v>0</v>
      </c>
      <c r="F101" s="24">
        <f t="shared" si="2"/>
        <v>0</v>
      </c>
      <c r="H101" s="25">
        <f t="shared" si="3"/>
        <v>5166.7199999999984</v>
      </c>
      <c r="I101" s="25">
        <f t="shared" si="9"/>
        <v>503.976</v>
      </c>
      <c r="K101" s="25">
        <f t="shared" si="0"/>
        <v>8611.1999999999989</v>
      </c>
      <c r="L101" s="25">
        <f t="shared" si="10"/>
        <v>2583.3599999999992</v>
      </c>
      <c r="M101" s="25">
        <f t="shared" si="4"/>
        <v>839.96</v>
      </c>
      <c r="N101" s="25">
        <f t="shared" si="5"/>
        <v>251.988</v>
      </c>
    </row>
    <row r="102" spans="1:14" x14ac:dyDescent="0.25">
      <c r="A102" s="9">
        <v>2044</v>
      </c>
      <c r="B102" s="24">
        <f t="shared" si="6"/>
        <v>1.7222399999999998</v>
      </c>
      <c r="C102" s="24">
        <f t="shared" si="7"/>
        <v>7.7349000000000001E-2</v>
      </c>
      <c r="D102" s="24">
        <f t="shared" si="8"/>
        <v>0.143819</v>
      </c>
      <c r="E102" s="24">
        <f t="shared" si="1"/>
        <v>0</v>
      </c>
      <c r="F102" s="24">
        <f t="shared" si="2"/>
        <v>0</v>
      </c>
      <c r="H102" s="25">
        <f t="shared" si="3"/>
        <v>5166.7199999999984</v>
      </c>
      <c r="I102" s="25">
        <f t="shared" si="9"/>
        <v>503.976</v>
      </c>
      <c r="K102" s="25">
        <f t="shared" si="0"/>
        <v>8611.1999999999989</v>
      </c>
      <c r="L102" s="25">
        <f t="shared" si="10"/>
        <v>2583.3599999999992</v>
      </c>
      <c r="M102" s="25">
        <f t="shared" si="4"/>
        <v>839.96</v>
      </c>
      <c r="N102" s="25">
        <f t="shared" si="5"/>
        <v>251.988</v>
      </c>
    </row>
    <row r="103" spans="1:14" x14ac:dyDescent="0.25">
      <c r="A103" s="9">
        <v>2045</v>
      </c>
      <c r="B103" s="24">
        <f t="shared" si="6"/>
        <v>1.7222399999999998</v>
      </c>
      <c r="C103" s="24">
        <f t="shared" si="7"/>
        <v>7.7349000000000001E-2</v>
      </c>
      <c r="D103" s="24">
        <f t="shared" si="8"/>
        <v>0.143819</v>
      </c>
      <c r="E103" s="24">
        <f t="shared" si="1"/>
        <v>0</v>
      </c>
      <c r="F103" s="24">
        <f t="shared" si="2"/>
        <v>0</v>
      </c>
      <c r="H103" s="25">
        <f t="shared" si="3"/>
        <v>5166.7199999999984</v>
      </c>
      <c r="I103" s="25">
        <f t="shared" si="9"/>
        <v>503.976</v>
      </c>
      <c r="K103" s="25">
        <f t="shared" si="0"/>
        <v>8611.1999999999989</v>
      </c>
      <c r="L103" s="25">
        <f t="shared" si="10"/>
        <v>2583.3599999999992</v>
      </c>
      <c r="M103" s="25">
        <f t="shared" si="4"/>
        <v>839.96</v>
      </c>
      <c r="N103" s="25">
        <f t="shared" si="5"/>
        <v>251.988</v>
      </c>
    </row>
    <row r="104" spans="1:14" x14ac:dyDescent="0.25">
      <c r="A104" s="9">
        <v>2046</v>
      </c>
      <c r="B104" s="24">
        <f t="shared" si="6"/>
        <v>1.7222399999999998</v>
      </c>
      <c r="C104" s="24">
        <f t="shared" si="7"/>
        <v>7.7349000000000001E-2</v>
      </c>
      <c r="D104" s="24">
        <f t="shared" si="8"/>
        <v>0.143819</v>
      </c>
      <c r="E104" s="24">
        <f t="shared" si="1"/>
        <v>0</v>
      </c>
      <c r="F104" s="24">
        <f t="shared" si="2"/>
        <v>0</v>
      </c>
      <c r="H104" s="25">
        <f t="shared" si="3"/>
        <v>5166.7199999999984</v>
      </c>
      <c r="I104" s="25">
        <f t="shared" si="9"/>
        <v>503.976</v>
      </c>
      <c r="K104" s="25">
        <f t="shared" si="0"/>
        <v>8611.1999999999989</v>
      </c>
      <c r="L104" s="25">
        <f t="shared" si="10"/>
        <v>2583.3599999999992</v>
      </c>
      <c r="M104" s="25">
        <f t="shared" si="4"/>
        <v>839.96</v>
      </c>
      <c r="N104" s="25">
        <f t="shared" si="5"/>
        <v>251.988</v>
      </c>
    </row>
    <row r="105" spans="1:14" x14ac:dyDescent="0.25">
      <c r="A105" s="9">
        <v>2047</v>
      </c>
      <c r="B105" s="24">
        <f t="shared" si="6"/>
        <v>1.7222399999999998</v>
      </c>
      <c r="C105" s="24">
        <f t="shared" si="7"/>
        <v>7.7349000000000001E-2</v>
      </c>
      <c r="D105" s="24">
        <f t="shared" si="8"/>
        <v>0.143819</v>
      </c>
      <c r="E105" s="24">
        <f t="shared" si="1"/>
        <v>0</v>
      </c>
      <c r="F105" s="24">
        <f t="shared" si="2"/>
        <v>0</v>
      </c>
      <c r="H105" s="25">
        <f t="shared" si="3"/>
        <v>5166.7199999999984</v>
      </c>
      <c r="I105" s="25">
        <f t="shared" si="9"/>
        <v>503.976</v>
      </c>
      <c r="K105" s="25">
        <f t="shared" si="0"/>
        <v>8611.1999999999989</v>
      </c>
      <c r="L105" s="25">
        <f t="shared" si="10"/>
        <v>2583.3599999999992</v>
      </c>
      <c r="M105" s="25">
        <f t="shared" si="4"/>
        <v>839.96</v>
      </c>
      <c r="N105" s="25">
        <f t="shared" si="5"/>
        <v>251.988</v>
      </c>
    </row>
    <row r="106" spans="1:14" x14ac:dyDescent="0.25">
      <c r="A106" s="9">
        <v>2048</v>
      </c>
      <c r="B106" s="24">
        <f t="shared" si="6"/>
        <v>1.7222399999999998</v>
      </c>
      <c r="C106" s="24">
        <f t="shared" si="7"/>
        <v>7.7349000000000001E-2</v>
      </c>
      <c r="D106" s="24">
        <f t="shared" si="8"/>
        <v>0.143819</v>
      </c>
      <c r="E106" s="24">
        <f t="shared" si="1"/>
        <v>0</v>
      </c>
      <c r="F106" s="24">
        <f t="shared" si="2"/>
        <v>0</v>
      </c>
      <c r="H106" s="25">
        <f t="shared" si="3"/>
        <v>5166.7199999999984</v>
      </c>
      <c r="I106" s="25">
        <f t="shared" si="9"/>
        <v>503.976</v>
      </c>
      <c r="K106" s="25">
        <f t="shared" si="0"/>
        <v>8611.1999999999989</v>
      </c>
      <c r="L106" s="25">
        <f t="shared" si="10"/>
        <v>2583.3599999999992</v>
      </c>
      <c r="M106" s="25">
        <f t="shared" si="4"/>
        <v>839.96</v>
      </c>
      <c r="N106" s="25">
        <f t="shared" si="5"/>
        <v>251.988</v>
      </c>
    </row>
    <row r="107" spans="1:14" x14ac:dyDescent="0.25">
      <c r="A107" s="9">
        <v>2049</v>
      </c>
      <c r="B107" s="24">
        <f t="shared" si="6"/>
        <v>1.7222399999999998</v>
      </c>
      <c r="C107" s="24">
        <f t="shared" si="7"/>
        <v>7.7349000000000001E-2</v>
      </c>
      <c r="D107" s="24">
        <f t="shared" si="8"/>
        <v>0.143819</v>
      </c>
      <c r="E107" s="24">
        <f t="shared" si="1"/>
        <v>0</v>
      </c>
      <c r="F107" s="24">
        <f t="shared" si="2"/>
        <v>0</v>
      </c>
      <c r="H107" s="25">
        <f t="shared" si="3"/>
        <v>5166.7199999999984</v>
      </c>
      <c r="I107" s="25">
        <f t="shared" si="9"/>
        <v>503.976</v>
      </c>
      <c r="K107" s="25">
        <f t="shared" si="0"/>
        <v>8611.1999999999989</v>
      </c>
      <c r="L107" s="25">
        <f t="shared" si="10"/>
        <v>2583.3599999999992</v>
      </c>
      <c r="M107" s="25">
        <f t="shared" si="4"/>
        <v>839.96</v>
      </c>
      <c r="N107" s="25">
        <f t="shared" si="5"/>
        <v>251.988</v>
      </c>
    </row>
    <row r="108" spans="1:14" x14ac:dyDescent="0.25">
      <c r="A108" s="9">
        <v>2050</v>
      </c>
      <c r="B108" s="24">
        <f t="shared" si="6"/>
        <v>1.7222399999999998</v>
      </c>
      <c r="C108" s="24">
        <f t="shared" si="7"/>
        <v>7.7349000000000001E-2</v>
      </c>
      <c r="D108" s="24">
        <f t="shared" si="8"/>
        <v>0.143819</v>
      </c>
      <c r="E108" s="24">
        <f t="shared" si="1"/>
        <v>0</v>
      </c>
      <c r="F108" s="24">
        <f t="shared" si="2"/>
        <v>0</v>
      </c>
      <c r="H108" s="25">
        <f t="shared" si="3"/>
        <v>5166.7199999999984</v>
      </c>
      <c r="I108" s="25">
        <f t="shared" si="9"/>
        <v>503.976</v>
      </c>
      <c r="K108" s="25">
        <f t="shared" si="0"/>
        <v>8611.1999999999989</v>
      </c>
      <c r="L108" s="25">
        <f t="shared" si="10"/>
        <v>2583.3599999999992</v>
      </c>
      <c r="M108" s="25">
        <f t="shared" si="4"/>
        <v>839.96</v>
      </c>
      <c r="N108" s="25">
        <f t="shared" si="5"/>
        <v>251.988</v>
      </c>
    </row>
    <row r="110" spans="1:14" ht="15" x14ac:dyDescent="0.25">
      <c r="A110" s="8" t="s">
        <v>61</v>
      </c>
      <c r="B110" s="180" t="s">
        <v>25</v>
      </c>
      <c r="C110" s="23" t="s">
        <v>193</v>
      </c>
    </row>
    <row r="111" spans="1:14" ht="15" x14ac:dyDescent="0.25">
      <c r="B111" s="8" t="s">
        <v>119</v>
      </c>
      <c r="C111" s="99" t="s">
        <v>194</v>
      </c>
    </row>
    <row r="112" spans="1:14" x14ac:dyDescent="0.25">
      <c r="L112" s="181"/>
    </row>
    <row r="113" spans="1:6" x14ac:dyDescent="0.25">
      <c r="A113" s="238" t="s">
        <v>91</v>
      </c>
      <c r="B113" s="238"/>
      <c r="C113" s="238"/>
      <c r="D113" s="238"/>
      <c r="E113" s="238"/>
      <c r="F113" s="238"/>
    </row>
    <row r="114" spans="1:6" x14ac:dyDescent="0.25">
      <c r="A114" s="6" t="s">
        <v>120</v>
      </c>
    </row>
    <row r="115" spans="1:6" x14ac:dyDescent="0.25">
      <c r="A115" s="7" t="s">
        <v>58</v>
      </c>
      <c r="B115" s="7" t="s">
        <v>59</v>
      </c>
      <c r="C115" s="7" t="s">
        <v>60</v>
      </c>
      <c r="D115" s="7" t="s">
        <v>61</v>
      </c>
    </row>
    <row r="116" spans="1:6" x14ac:dyDescent="0.25">
      <c r="A116" s="9" t="s">
        <v>92</v>
      </c>
      <c r="B116" s="9" t="s">
        <v>6</v>
      </c>
      <c r="C116" s="20">
        <v>0.05</v>
      </c>
      <c r="D116" s="128"/>
    </row>
    <row r="117" spans="1:6" x14ac:dyDescent="0.25">
      <c r="A117" s="9" t="s">
        <v>37</v>
      </c>
      <c r="B117" s="9" t="s">
        <v>6</v>
      </c>
      <c r="C117" s="21">
        <v>0.23</v>
      </c>
      <c r="D117" s="128" t="s">
        <v>37</v>
      </c>
    </row>
    <row r="118" spans="1:6" x14ac:dyDescent="0.25">
      <c r="A118" s="9" t="s">
        <v>93</v>
      </c>
      <c r="B118" s="9" t="s">
        <v>6</v>
      </c>
      <c r="C118" s="21">
        <v>0.22</v>
      </c>
      <c r="D118" s="128"/>
    </row>
    <row r="119" spans="1:6" x14ac:dyDescent="0.25">
      <c r="A119" s="9" t="s">
        <v>36</v>
      </c>
      <c r="B119" s="9" t="s">
        <v>6</v>
      </c>
      <c r="C119" s="105">
        <v>0.30199999999999999</v>
      </c>
      <c r="D119" s="128" t="s">
        <v>36</v>
      </c>
    </row>
    <row r="120" spans="1:6" x14ac:dyDescent="0.25">
      <c r="A120" s="9" t="s">
        <v>38</v>
      </c>
      <c r="B120" s="9" t="s">
        <v>6</v>
      </c>
      <c r="C120" s="105">
        <v>0.05</v>
      </c>
      <c r="D120" s="3" t="s">
        <v>41</v>
      </c>
    </row>
    <row r="121" spans="1:6" x14ac:dyDescent="0.25">
      <c r="A121" s="9" t="s">
        <v>40</v>
      </c>
      <c r="B121" s="9" t="s">
        <v>6</v>
      </c>
      <c r="C121" s="105">
        <v>4.4999999999999998E-2</v>
      </c>
      <c r="D121" s="3" t="s">
        <v>41</v>
      </c>
    </row>
    <row r="122" spans="1:6" x14ac:dyDescent="0.25">
      <c r="A122" s="6" t="s">
        <v>121</v>
      </c>
    </row>
    <row r="123" spans="1:6" x14ac:dyDescent="0.25">
      <c r="A123" s="7" t="s">
        <v>58</v>
      </c>
      <c r="B123" s="7" t="s">
        <v>59</v>
      </c>
      <c r="C123" s="7" t="s">
        <v>60</v>
      </c>
      <c r="D123" s="7" t="s">
        <v>61</v>
      </c>
    </row>
    <row r="124" spans="1:6" x14ac:dyDescent="0.25">
      <c r="A124" s="9" t="s">
        <v>92</v>
      </c>
      <c r="B124" s="9" t="s">
        <v>6</v>
      </c>
      <c r="C124" s="20">
        <v>0.05</v>
      </c>
      <c r="D124" s="3"/>
    </row>
    <row r="125" spans="1:6" x14ac:dyDescent="0.25">
      <c r="A125" s="9" t="s">
        <v>37</v>
      </c>
      <c r="B125" s="9" t="s">
        <v>6</v>
      </c>
      <c r="C125" s="21">
        <v>0</v>
      </c>
      <c r="D125" s="3"/>
    </row>
    <row r="126" spans="1:6" x14ac:dyDescent="0.25">
      <c r="A126" s="9" t="s">
        <v>93</v>
      </c>
      <c r="B126" s="9" t="s">
        <v>6</v>
      </c>
      <c r="C126" s="21">
        <v>0.22</v>
      </c>
      <c r="D126" s="3" t="s">
        <v>36</v>
      </c>
    </row>
    <row r="127" spans="1:6" x14ac:dyDescent="0.25">
      <c r="A127" s="9" t="s">
        <v>36</v>
      </c>
      <c r="B127" s="9" t="s">
        <v>6</v>
      </c>
      <c r="C127" s="107">
        <v>0</v>
      </c>
      <c r="D127" s="3" t="s">
        <v>37</v>
      </c>
    </row>
    <row r="128" spans="1:6" x14ac:dyDescent="0.25">
      <c r="A128" s="9" t="s">
        <v>38</v>
      </c>
      <c r="B128" s="9" t="s">
        <v>6</v>
      </c>
      <c r="C128" s="107">
        <v>2.2499999999999999E-2</v>
      </c>
      <c r="D128" s="3" t="s">
        <v>41</v>
      </c>
    </row>
    <row r="129" spans="1:9" x14ac:dyDescent="0.25">
      <c r="A129" s="9" t="s">
        <v>40</v>
      </c>
      <c r="B129" s="9" t="s">
        <v>6</v>
      </c>
      <c r="C129" s="107">
        <v>2.2499999999999999E-2</v>
      </c>
      <c r="D129" s="3" t="s">
        <v>41</v>
      </c>
    </row>
    <row r="130" spans="1:9" s="11" customFormat="1" x14ac:dyDescent="0.25">
      <c r="A130" s="10"/>
      <c r="B130" s="10"/>
      <c r="C130" s="106"/>
      <c r="D130" s="95"/>
    </row>
    <row r="131" spans="1:9" s="11" customFormat="1" x14ac:dyDescent="0.25">
      <c r="A131" s="10"/>
      <c r="B131" s="10"/>
      <c r="C131" s="106"/>
      <c r="D131" s="95"/>
    </row>
    <row r="132" spans="1:9" x14ac:dyDescent="0.25">
      <c r="A132" s="238" t="s">
        <v>174</v>
      </c>
      <c r="B132" s="238"/>
      <c r="C132" s="238"/>
      <c r="D132" s="238"/>
      <c r="E132" s="238"/>
      <c r="F132" s="238"/>
    </row>
    <row r="133" spans="1:9" x14ac:dyDescent="0.25">
      <c r="A133" s="7" t="s">
        <v>58</v>
      </c>
      <c r="B133" s="7" t="s">
        <v>59</v>
      </c>
      <c r="C133" s="7" t="s">
        <v>60</v>
      </c>
      <c r="D133" s="7" t="s">
        <v>61</v>
      </c>
    </row>
    <row r="134" spans="1:9" x14ac:dyDescent="0.25">
      <c r="A134" s="26" t="s">
        <v>21</v>
      </c>
      <c r="B134" s="9" t="s">
        <v>15</v>
      </c>
      <c r="C134" s="97">
        <v>257</v>
      </c>
      <c r="D134" s="27"/>
    </row>
    <row r="135" spans="1:9" x14ac:dyDescent="0.25">
      <c r="A135" s="26" t="s">
        <v>96</v>
      </c>
      <c r="B135" s="9" t="s">
        <v>14</v>
      </c>
      <c r="C135" s="28">
        <v>2.7600000000000003E-2</v>
      </c>
      <c r="D135" s="27"/>
      <c r="F135" s="236" t="s">
        <v>102</v>
      </c>
      <c r="G135" s="236"/>
      <c r="H135" s="236"/>
      <c r="I135" s="236"/>
    </row>
    <row r="136" spans="1:9" x14ac:dyDescent="0.25">
      <c r="A136" s="26" t="s">
        <v>97</v>
      </c>
      <c r="B136" s="9" t="s">
        <v>16</v>
      </c>
      <c r="C136" s="28">
        <v>40</v>
      </c>
      <c r="D136" s="27"/>
      <c r="F136" s="15">
        <v>0.2</v>
      </c>
      <c r="G136" s="15">
        <v>-0.2</v>
      </c>
      <c r="H136" s="15">
        <v>0.2</v>
      </c>
      <c r="I136" s="15">
        <v>-0.2</v>
      </c>
    </row>
    <row r="137" spans="1:9" x14ac:dyDescent="0.25">
      <c r="F137" s="7" t="s">
        <v>22</v>
      </c>
      <c r="G137" s="7" t="s">
        <v>22</v>
      </c>
      <c r="H137" s="7" t="s">
        <v>4</v>
      </c>
      <c r="I137" s="7" t="s">
        <v>4</v>
      </c>
    </row>
    <row r="138" spans="1:9" x14ac:dyDescent="0.25">
      <c r="A138" s="26" t="s">
        <v>98</v>
      </c>
      <c r="B138" s="9" t="s">
        <v>20</v>
      </c>
      <c r="C138" s="47">
        <f>C134*C42/(10^6)</f>
        <v>61.68</v>
      </c>
      <c r="D138" s="27"/>
      <c r="F138" s="9" t="s">
        <v>1</v>
      </c>
      <c r="G138" s="9" t="s">
        <v>1</v>
      </c>
      <c r="H138" s="9" t="s">
        <v>1</v>
      </c>
      <c r="I138" s="9" t="s">
        <v>1</v>
      </c>
    </row>
    <row r="139" spans="1:9" x14ac:dyDescent="0.25">
      <c r="A139" s="26" t="s">
        <v>99</v>
      </c>
      <c r="B139" s="9" t="s">
        <v>20</v>
      </c>
      <c r="C139" s="47">
        <f>C135*C43*C19/1000</f>
        <v>1.3248000000000002</v>
      </c>
      <c r="D139" s="27"/>
      <c r="F139" s="25">
        <f>C134*H42/(10^6)*$C$136</f>
        <v>4112</v>
      </c>
      <c r="G139" s="25">
        <f>C134*I42/(10^6)*$C$136</f>
        <v>1233.5999999999999</v>
      </c>
      <c r="H139" s="25">
        <f>C135*H43*C19/1000*$C$136</f>
        <v>88.320000000000022</v>
      </c>
      <c r="I139" s="25">
        <f>C135*I43*C19/1000*$C$136</f>
        <v>26.496000000000002</v>
      </c>
    </row>
    <row r="140" spans="1:9" x14ac:dyDescent="0.25">
      <c r="A140" s="26" t="s">
        <v>100</v>
      </c>
      <c r="B140" s="9" t="s">
        <v>1</v>
      </c>
      <c r="C140" s="48">
        <f>C138*$C$136</f>
        <v>2467.1999999999998</v>
      </c>
      <c r="D140" s="27"/>
    </row>
    <row r="141" spans="1:9" x14ac:dyDescent="0.25">
      <c r="A141" s="26" t="s">
        <v>101</v>
      </c>
      <c r="B141" s="9" t="s">
        <v>1</v>
      </c>
      <c r="C141" s="48">
        <f>C139*$C$136</f>
        <v>52.992000000000004</v>
      </c>
      <c r="D141" s="27"/>
    </row>
  </sheetData>
  <mergeCells count="15">
    <mergeCell ref="K76:N76"/>
    <mergeCell ref="D29:D30"/>
    <mergeCell ref="F135:I135"/>
    <mergeCell ref="A132:F132"/>
    <mergeCell ref="A1:F1"/>
    <mergeCell ref="A2:F2"/>
    <mergeCell ref="A49:F49"/>
    <mergeCell ref="A113:F113"/>
    <mergeCell ref="A38:D38"/>
    <mergeCell ref="E38:I38"/>
    <mergeCell ref="H10:I10"/>
    <mergeCell ref="H11:I11"/>
    <mergeCell ref="A60:H60"/>
    <mergeCell ref="B63:C63"/>
    <mergeCell ref="D63:E63"/>
  </mergeCells>
  <dataValidations count="2">
    <dataValidation showInputMessage="1" showErrorMessage="1" sqref="C5:C7 F15:F19 C41:C47 C15:C19 C52:C56 H41:I46 C26:C27 C29:C30 C35:C36 C116:C121 H5:I6 I8 C124:C131" xr:uid="{028A789C-13FC-4BA8-BD35-406333530ABA}"/>
    <dataValidation showInputMessage="1" showErrorMessage="1" errorTitle="Error" error="Debe elegir un modelo" promptTitle="Seleccionar" sqref="D10 G15:G19 D52:D53 E17 D29 D22:D23 D26:D27 J5 D5:D7 D15:D19 D42:D47 D119:D121 D116:D117 D35:D36 D124:D131" xr:uid="{192A9A90-5B5C-45E1-8D25-5967310D923C}"/>
  </dataValidations>
  <hyperlinks>
    <hyperlink ref="D56" r:id="rId1" xr:uid="{4C6CDBA4-B655-4E8C-B7B6-23DEE7E9BA6A}"/>
    <hyperlink ref="E35" r:id="rId2" xr:uid="{4E54D578-37A3-4FF3-A651-B565555158C9}"/>
    <hyperlink ref="E36" r:id="rId3" xr:uid="{0A8FD12B-4F3E-406D-A106-9F5C7E2A70B0}"/>
    <hyperlink ref="G2" r:id="rId4" xr:uid="{786028F8-CC0A-4688-8D9A-7BB254066B6E}"/>
    <hyperlink ref="D54" r:id="rId5" xr:uid="{545FD146-F08E-416F-BB47-F1E7B6F4A801}"/>
    <hyperlink ref="D55" r:id="rId6" xr:uid="{AA92489E-A14E-4786-AC48-E0C93701D01D}"/>
    <hyperlink ref="D16" r:id="rId7" xr:uid="{43FCB803-A54A-4505-BAEC-F905A91B0827}"/>
    <hyperlink ref="D15" r:id="rId8" xr:uid="{689B1DDF-5680-477A-BAA2-078D7668F9E9}"/>
    <hyperlink ref="C111" r:id="rId9" xr:uid="{96A0122D-54A7-41BC-9CFA-18D3CCE0F5AA}"/>
    <hyperlink ref="C110" r:id="rId10" display="Ancap 2021 " xr:uid="{75F18B00-4F99-48C6-AA7E-D6A7A0FDE884}"/>
  </hyperlinks>
  <pageMargins left="0.7" right="0.7" top="0.75" bottom="0.75" header="0.3" footer="0.3"/>
  <pageSetup orientation="portrait" r:id="rId11"/>
  <ignoredErrors>
    <ignoredError sqref="I6" formula="1"/>
  </ignoredErrors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S142"/>
  <sheetViews>
    <sheetView zoomScale="85" zoomScaleNormal="85" workbookViewId="0">
      <selection sqref="A1:F1"/>
    </sheetView>
  </sheetViews>
  <sheetFormatPr baseColWidth="10" defaultColWidth="10.85546875" defaultRowHeight="13.5" x14ac:dyDescent="0.25"/>
  <cols>
    <col min="1" max="1" width="21" style="4" customWidth="1"/>
    <col min="2" max="2" width="32.42578125" style="4" customWidth="1"/>
    <col min="3" max="6" width="15" style="4" customWidth="1"/>
    <col min="7" max="10" width="12.42578125" style="4" customWidth="1"/>
    <col min="11" max="11" width="33.42578125" style="4" bestFit="1" customWidth="1"/>
    <col min="12" max="15" width="15.140625" style="4" customWidth="1"/>
    <col min="16" max="16384" width="10.85546875" style="4"/>
  </cols>
  <sheetData>
    <row r="1" spans="1:19" ht="12.6" customHeight="1" x14ac:dyDescent="0.25">
      <c r="A1" s="244" t="s">
        <v>122</v>
      </c>
      <c r="B1" s="244"/>
      <c r="C1" s="244"/>
      <c r="D1" s="244"/>
      <c r="E1" s="244"/>
      <c r="F1" s="244"/>
      <c r="G1" s="59"/>
      <c r="H1" s="5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25">
      <c r="C2" s="40" t="s">
        <v>90</v>
      </c>
      <c r="D2" s="124" t="s">
        <v>123</v>
      </c>
      <c r="E2" s="41" t="s">
        <v>147</v>
      </c>
      <c r="F2" s="41" t="s">
        <v>123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6" customHeight="1" x14ac:dyDescent="0.25">
      <c r="B3" s="70"/>
      <c r="C3" s="79"/>
      <c r="E3" s="79"/>
      <c r="F3" s="32"/>
      <c r="G3" s="32"/>
      <c r="H3" s="119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x14ac:dyDescent="0.25">
      <c r="A4" s="249" t="s">
        <v>17</v>
      </c>
      <c r="B4" s="30" t="s">
        <v>31</v>
      </c>
      <c r="C4" s="38">
        <f>Parametros!C5</f>
        <v>12500</v>
      </c>
      <c r="D4" s="51">
        <f t="shared" ref="D4:D14" ca="1" si="0">C4/($C$15)</f>
        <v>0.15389391236837768</v>
      </c>
      <c r="E4" s="39">
        <f>Parametros!C15</f>
        <v>34000</v>
      </c>
      <c r="F4" s="67">
        <f t="shared" ref="F4:F14" ca="1" si="1">E4/($E$15)</f>
        <v>0.51799857182940867</v>
      </c>
      <c r="G4" s="58"/>
      <c r="H4" s="120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x14ac:dyDescent="0.25">
      <c r="A5" s="251"/>
      <c r="B5" s="33" t="s">
        <v>64</v>
      </c>
      <c r="C5" s="34">
        <v>0</v>
      </c>
      <c r="D5" s="49">
        <f t="shared" ca="1" si="0"/>
        <v>0</v>
      </c>
      <c r="E5" s="35">
        <f>Parametros!C26</f>
        <v>2000</v>
      </c>
      <c r="F5" s="68">
        <f t="shared" ca="1" si="1"/>
        <v>3.0470504225259334E-2</v>
      </c>
      <c r="G5" s="58"/>
      <c r="H5" s="120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x14ac:dyDescent="0.25">
      <c r="A6" s="250"/>
      <c r="B6" s="31" t="s">
        <v>124</v>
      </c>
      <c r="C6" s="34">
        <v>0</v>
      </c>
      <c r="D6" s="49">
        <f t="shared" ca="1" si="0"/>
        <v>0</v>
      </c>
      <c r="E6" s="35">
        <f>(Parametros!$C$28*Parametros!$C$16*(1-Parametros!$C$35))*0</f>
        <v>0</v>
      </c>
      <c r="F6" s="68">
        <f t="shared" ca="1" si="1"/>
        <v>0</v>
      </c>
      <c r="G6" s="58"/>
      <c r="H6" s="120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x14ac:dyDescent="0.25">
      <c r="A7" s="249" t="s">
        <v>18</v>
      </c>
      <c r="B7" s="30" t="s">
        <v>92</v>
      </c>
      <c r="C7" s="38">
        <f>Parametros!$C$116*C4</f>
        <v>625</v>
      </c>
      <c r="D7" s="51">
        <f t="shared" ca="1" si="0"/>
        <v>7.6946956184188843E-3</v>
      </c>
      <c r="E7" s="39">
        <f>Parametros!$C$124*E4</f>
        <v>1700</v>
      </c>
      <c r="F7" s="67">
        <f t="shared" ca="1" si="1"/>
        <v>2.5899928591470434E-2</v>
      </c>
      <c r="G7" s="58"/>
      <c r="H7" s="120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x14ac:dyDescent="0.25">
      <c r="A8" s="251"/>
      <c r="B8" s="33" t="s">
        <v>37</v>
      </c>
      <c r="C8" s="34">
        <f>Parametros!$C$117*C4</f>
        <v>2875</v>
      </c>
      <c r="D8" s="49">
        <f t="shared" ca="1" si="0"/>
        <v>3.5395599844726872E-2</v>
      </c>
      <c r="E8" s="35">
        <f>Parametros!$C$125*E4</f>
        <v>0</v>
      </c>
      <c r="F8" s="68">
        <f t="shared" ca="1" si="1"/>
        <v>0</v>
      </c>
      <c r="G8" s="58"/>
      <c r="H8" s="120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x14ac:dyDescent="0.25">
      <c r="A9" s="251"/>
      <c r="B9" s="33" t="s">
        <v>93</v>
      </c>
      <c r="C9" s="34">
        <f>Parametros!$C$118*C4</f>
        <v>2750</v>
      </c>
      <c r="D9" s="49">
        <f t="shared" ca="1" si="0"/>
        <v>3.385666072104309E-2</v>
      </c>
      <c r="E9" s="35">
        <f>Parametros!$C$126*E4</f>
        <v>7480</v>
      </c>
      <c r="F9" s="68">
        <f t="shared" ca="1" si="1"/>
        <v>0.1139596858024699</v>
      </c>
      <c r="G9" s="58"/>
      <c r="H9" s="120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x14ac:dyDescent="0.25">
      <c r="A10" s="251"/>
      <c r="B10" s="125" t="s">
        <v>36</v>
      </c>
      <c r="C10" s="34">
        <f>Parametros!$C$119*C4</f>
        <v>3775</v>
      </c>
      <c r="D10" s="49">
        <f t="shared" ca="1" si="0"/>
        <v>4.6475961535250063E-2</v>
      </c>
      <c r="E10" s="35">
        <f>Parametros!$C$127*E4</f>
        <v>0</v>
      </c>
      <c r="F10" s="68">
        <f t="shared" ca="1" si="1"/>
        <v>0</v>
      </c>
      <c r="G10" s="58"/>
      <c r="H10" s="120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x14ac:dyDescent="0.25">
      <c r="A11" s="251"/>
      <c r="B11" s="125" t="s">
        <v>144</v>
      </c>
      <c r="C11" s="34">
        <f>Parametros!$C$120*C4+Parametros!$C$121*(Parametros!$C$17-1)*C4</f>
        <v>4562.5</v>
      </c>
      <c r="D11" s="49">
        <f t="shared" ca="1" si="0"/>
        <v>5.6171278014457857E-2</v>
      </c>
      <c r="E11" s="35">
        <f>Parametros!$C$128*Parametros!$C$17*E4</f>
        <v>6120</v>
      </c>
      <c r="F11" s="68">
        <f t="shared" ca="1" si="1"/>
        <v>9.3239742929293559E-2</v>
      </c>
      <c r="G11" s="58"/>
      <c r="H11" s="120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x14ac:dyDescent="0.25">
      <c r="A12" s="250"/>
      <c r="B12" s="31" t="s">
        <v>125</v>
      </c>
      <c r="C12" s="36">
        <f>-CUMIPMT(Parametros!C54,Parametros!C53,(SUM(C4,C7:C10))*Parametros!C52,1,Parametros!C53,0)</f>
        <v>3203.5253578418578</v>
      </c>
      <c r="D12" s="50">
        <f t="shared" ca="1" si="0"/>
        <v>3.9440244055167252E-2</v>
      </c>
      <c r="E12" s="35">
        <f>-CUMIPMT(Parametros!C55,Parametros!C53,(SUM(E4,E7:E10))*Parametros!C52,1,Parametros!C53,0)</f>
        <v>5505.4386046048166</v>
      </c>
      <c r="F12" s="69">
        <f t="shared" ca="1" si="1"/>
        <v>8.3876745131758454E-2</v>
      </c>
      <c r="G12" s="58"/>
      <c r="H12" s="120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x14ac:dyDescent="0.25">
      <c r="A13" s="249" t="s">
        <v>19</v>
      </c>
      <c r="B13" s="125" t="s">
        <v>53</v>
      </c>
      <c r="C13" s="34">
        <f>(Parametros!$C$8+Parametros!$C$9+Parametros!$C$10)*Parametros!$C$42</f>
        <v>9600</v>
      </c>
      <c r="D13" s="49">
        <f t="shared" ca="1" si="0"/>
        <v>0.11819052469891407</v>
      </c>
      <c r="E13" s="39">
        <f>Parametros!$C$43*(Parametros!$C$20+Parametros!$C$21+Parametros!$C$22)</f>
        <v>4800</v>
      </c>
      <c r="F13" s="68">
        <f t="shared" ca="1" si="1"/>
        <v>7.3129210140622403E-2</v>
      </c>
      <c r="G13" s="58"/>
      <c r="H13" s="120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x14ac:dyDescent="0.25">
      <c r="A14" s="250"/>
      <c r="B14" s="31" t="s">
        <v>126</v>
      </c>
      <c r="C14" s="36">
        <f ca="1">SUM(Parametros!$H$80:OFFSET(Parametros!$H$80,Parametros!$C$6-1,0))</f>
        <v>41333.759999999987</v>
      </c>
      <c r="D14" s="50">
        <f t="shared" ca="1" si="0"/>
        <v>0.5088811231436442</v>
      </c>
      <c r="E14" s="37">
        <f ca="1">SUM(Parametros!$I$80:OFFSET(Parametros!$I$80,Parametros!$C$17-1,0))</f>
        <v>4031.8080000000004</v>
      </c>
      <c r="F14" s="69">
        <f t="shared" ca="1" si="1"/>
        <v>6.1425611349717198E-2</v>
      </c>
      <c r="G14" s="58"/>
      <c r="H14" s="120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2.6" customHeight="1" x14ac:dyDescent="0.25">
      <c r="A15" s="78"/>
      <c r="B15" s="70" t="s">
        <v>23</v>
      </c>
      <c r="C15" s="71">
        <f ca="1">SUM(C4:C14)</f>
        <v>81224.785357841844</v>
      </c>
      <c r="D15" s="62"/>
      <c r="E15" s="71">
        <f ca="1">SUM(E4:E14)</f>
        <v>65637.246604604821</v>
      </c>
      <c r="F15" s="62"/>
      <c r="G15" s="58"/>
      <c r="H15" s="120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x14ac:dyDescent="0.25">
      <c r="A16" s="78"/>
      <c r="B16" s="70"/>
      <c r="C16" s="71">
        <f ca="1">C15/Parametros!$C$6</f>
        <v>10153.09816973023</v>
      </c>
      <c r="D16" s="62" t="s">
        <v>136</v>
      </c>
      <c r="E16" s="71">
        <f ca="1">E15/Parametros!$C$17</f>
        <v>8204.6558255756026</v>
      </c>
      <c r="F16" s="62" t="s">
        <v>136</v>
      </c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x14ac:dyDescent="0.25">
      <c r="A17" s="72" t="s">
        <v>145</v>
      </c>
      <c r="B17" s="73" t="s">
        <v>128</v>
      </c>
      <c r="C17" s="74">
        <f>Parametros!C140</f>
        <v>2467.1999999999998</v>
      </c>
      <c r="D17" s="75"/>
      <c r="E17" s="76">
        <f>Parametros!C141</f>
        <v>52.992000000000004</v>
      </c>
      <c r="F17" s="77"/>
      <c r="G17" s="58"/>
      <c r="H17" s="58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6" customHeight="1" x14ac:dyDescent="0.25">
      <c r="B18" s="127" t="s">
        <v>23</v>
      </c>
      <c r="C18" s="71">
        <f ca="1">C17+C15</f>
        <v>83691.985357841841</v>
      </c>
      <c r="D18" s="62"/>
      <c r="E18" s="71">
        <f ca="1">E17+E15</f>
        <v>65690.23860460482</v>
      </c>
      <c r="F18" s="62"/>
      <c r="G18" s="32"/>
      <c r="H18" s="32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x14ac:dyDescent="0.25">
      <c r="B19" s="127"/>
      <c r="C19" s="71">
        <f ca="1">C18/Parametros!$C$6</f>
        <v>10461.49816973023</v>
      </c>
      <c r="D19" s="62" t="s">
        <v>136</v>
      </c>
      <c r="E19" s="71">
        <f ca="1">E18/Parametros!$C$17</f>
        <v>8211.2798255756024</v>
      </c>
      <c r="F19" s="62" t="s">
        <v>136</v>
      </c>
      <c r="G19" s="32"/>
      <c r="H19" s="32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3.5" customHeight="1" x14ac:dyDescent="0.3">
      <c r="A20" s="245" t="s">
        <v>129</v>
      </c>
      <c r="B20" s="245"/>
      <c r="C20" s="129">
        <f ca="1">C15</f>
        <v>81224.785357841844</v>
      </c>
      <c r="D20" s="43"/>
      <c r="E20" s="52">
        <f ca="1">E15</f>
        <v>65637.246604604821</v>
      </c>
      <c r="F20" s="44"/>
      <c r="G20" s="60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3.5" customHeight="1" x14ac:dyDescent="0.3">
      <c r="A21" s="245" t="s">
        <v>130</v>
      </c>
      <c r="B21" s="245"/>
      <c r="C21" s="45">
        <f ca="1">C20/Parametros!C42</f>
        <v>0.33843660565767436</v>
      </c>
      <c r="D21" s="45"/>
      <c r="E21" s="46">
        <f ca="1">E20/Parametros!C43</f>
        <v>0.27348852751918673</v>
      </c>
      <c r="F21" s="44"/>
      <c r="G21" s="117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3.5" customHeight="1" x14ac:dyDescent="0.3">
      <c r="A22" s="245" t="s">
        <v>131</v>
      </c>
      <c r="B22" s="245"/>
      <c r="C22" s="45"/>
      <c r="D22" s="45"/>
      <c r="E22" s="44"/>
      <c r="F22" s="46"/>
      <c r="G22" s="117"/>
      <c r="H22" s="61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3.5" customHeight="1" x14ac:dyDescent="0.25">
      <c r="G23" s="118"/>
      <c r="H23" s="32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6.5" x14ac:dyDescent="0.3">
      <c r="A24" s="245" t="s">
        <v>132</v>
      </c>
      <c r="B24" s="245"/>
      <c r="C24" s="129">
        <f ca="1">C18</f>
        <v>83691.985357841841</v>
      </c>
      <c r="D24" s="129"/>
      <c r="E24" s="52">
        <f ca="1">E18</f>
        <v>65690.23860460482</v>
      </c>
      <c r="F24" s="44"/>
      <c r="G24" s="60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6.5" x14ac:dyDescent="0.3">
      <c r="A25" s="245" t="s">
        <v>133</v>
      </c>
      <c r="B25" s="245"/>
      <c r="C25" s="121">
        <f ca="1">C24/Parametros!C42</f>
        <v>0.34871660565767432</v>
      </c>
      <c r="D25" s="43"/>
      <c r="E25" s="130">
        <f ca="1">E24/Parametros!C43</f>
        <v>0.27370932751918675</v>
      </c>
      <c r="F25" s="122">
        <f ca="1">C25-E25</f>
        <v>7.5007278138487565E-2</v>
      </c>
      <c r="G25" s="60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3.5" customHeight="1" x14ac:dyDescent="0.3">
      <c r="A26" s="245" t="s">
        <v>131</v>
      </c>
      <c r="B26" s="245"/>
      <c r="C26" s="45"/>
      <c r="D26" s="45"/>
      <c r="E26" s="44"/>
      <c r="F26" s="46"/>
      <c r="G26" s="61"/>
      <c r="H26" s="61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x14ac:dyDescent="0.25"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3.5" customHeight="1" x14ac:dyDescent="0.3">
      <c r="A28" s="245" t="s">
        <v>134</v>
      </c>
      <c r="B28" s="245"/>
      <c r="C28" s="42"/>
      <c r="D28" s="43"/>
      <c r="E28" s="108">
        <v>0</v>
      </c>
      <c r="F28" s="44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6.5" x14ac:dyDescent="0.3">
      <c r="A29" s="245" t="s">
        <v>135</v>
      </c>
      <c r="B29" s="245"/>
      <c r="C29" s="109"/>
      <c r="D29" s="110"/>
      <c r="E29" s="108">
        <f>(Parametros!$C$116-Parametros!$C$124)*E4+(Parametros!$C$119-Parametros!$C$126+Parametros!$C$117-Parametros!$C$127)*E4+E4*(Parametros!$C$120-Parametros!$C$128)+E4*(Parametros!$C$121-Parametros!$C$129)*(Parametros!$C$17-1)</f>
        <v>16898</v>
      </c>
      <c r="F29" s="111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x14ac:dyDescent="0.25"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6" customHeight="1" x14ac:dyDescent="0.25">
      <c r="A31" s="244" t="s">
        <v>137</v>
      </c>
      <c r="B31" s="244"/>
      <c r="C31" s="244"/>
      <c r="D31" s="244"/>
      <c r="E31" s="244"/>
      <c r="F31" s="244"/>
      <c r="G31" s="59"/>
      <c r="H31" s="59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C32" s="40" t="s">
        <v>90</v>
      </c>
      <c r="D32" s="41" t="s">
        <v>147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x14ac:dyDescent="0.25">
      <c r="A33" s="249" t="s">
        <v>17</v>
      </c>
      <c r="B33" s="33" t="s">
        <v>31</v>
      </c>
      <c r="C33" s="53">
        <f>C4/Parametros!$C$42</f>
        <v>5.2083333333333336E-2</v>
      </c>
      <c r="D33" s="84">
        <f>E4/Parametros!$C$43</f>
        <v>0.14166666666666666</v>
      </c>
      <c r="F33" s="7">
        <v>2021</v>
      </c>
      <c r="G33" s="7" t="s">
        <v>143</v>
      </c>
      <c r="H33" s="7" t="s">
        <v>26</v>
      </c>
      <c r="I33" s="7" t="s">
        <v>142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x14ac:dyDescent="0.25">
      <c r="A34" s="251"/>
      <c r="B34" s="33" t="s">
        <v>64</v>
      </c>
      <c r="C34" s="53">
        <f>C5/Parametros!$C$42</f>
        <v>0</v>
      </c>
      <c r="D34" s="84">
        <f>E5/Parametros!$C$43</f>
        <v>8.3333333333333332E-3</v>
      </c>
      <c r="F34" s="26" t="s">
        <v>138</v>
      </c>
      <c r="G34" s="62">
        <f>SUM(C4:C7)</f>
        <v>13125</v>
      </c>
      <c r="H34" s="62">
        <f>SUM(E4:E7)</f>
        <v>37700</v>
      </c>
      <c r="I34" s="91">
        <f>H34/G34</f>
        <v>2.8723809523809525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x14ac:dyDescent="0.25">
      <c r="A35" s="250"/>
      <c r="B35" s="31" t="s">
        <v>124</v>
      </c>
      <c r="C35" s="53">
        <f>C6/Parametros!$C$42</f>
        <v>0</v>
      </c>
      <c r="D35" s="84">
        <f>E6/Parametros!$C$43</f>
        <v>0</v>
      </c>
      <c r="E35" s="57"/>
      <c r="F35" s="26" t="s">
        <v>139</v>
      </c>
      <c r="G35" s="62">
        <f>G34-G36</f>
        <v>9187.5</v>
      </c>
      <c r="H35" s="62">
        <f>H34-H36</f>
        <v>24990</v>
      </c>
      <c r="I35" s="91">
        <f>H35/G35</f>
        <v>2.72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x14ac:dyDescent="0.25">
      <c r="A36" s="249" t="s">
        <v>18</v>
      </c>
      <c r="B36" s="30" t="s">
        <v>92</v>
      </c>
      <c r="C36" s="55">
        <f>C7/Parametros!$C$42</f>
        <v>2.6041666666666665E-3</v>
      </c>
      <c r="D36" s="86">
        <f>E7/Parametros!$C$43</f>
        <v>7.083333333333333E-3</v>
      </c>
      <c r="E36" s="57"/>
      <c r="F36" s="26" t="s">
        <v>46</v>
      </c>
      <c r="G36" s="116">
        <f>(1-Parametros!$C$52)*(C4+C7)+C5+C6</f>
        <v>3937.5000000000005</v>
      </c>
      <c r="H36" s="116">
        <f>(1-Parametros!$C$52)*(E4+E7)+E5</f>
        <v>12710.000000000002</v>
      </c>
      <c r="I36" s="91">
        <f>H36/G36</f>
        <v>3.2279365079365081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x14ac:dyDescent="0.25">
      <c r="A37" s="251"/>
      <c r="B37" s="33" t="s">
        <v>37</v>
      </c>
      <c r="C37" s="53">
        <f>C8/Parametros!$C$42</f>
        <v>1.1979166666666667E-2</v>
      </c>
      <c r="D37" s="84">
        <f>E8/Parametros!$C$43</f>
        <v>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x14ac:dyDescent="0.25">
      <c r="A38" s="251"/>
      <c r="B38" s="33" t="s">
        <v>93</v>
      </c>
      <c r="C38" s="53">
        <f>C9/Parametros!$C$42</f>
        <v>1.1458333333333333E-2</v>
      </c>
      <c r="D38" s="84">
        <f>E9/Parametros!$C$43</f>
        <v>3.1166666666666665E-2</v>
      </c>
      <c r="E38" s="57"/>
      <c r="F38" s="57"/>
      <c r="G38" s="57"/>
      <c r="H38" s="57"/>
      <c r="I38" s="57"/>
      <c r="J38" s="57"/>
      <c r="K38" s="145"/>
      <c r="L38" s="57"/>
      <c r="M38" s="57"/>
      <c r="N38" s="57"/>
      <c r="O38" s="57"/>
      <c r="P38" s="57"/>
      <c r="Q38" s="57"/>
      <c r="R38" s="57"/>
      <c r="S38" s="57"/>
    </row>
    <row r="39" spans="1:19" x14ac:dyDescent="0.25">
      <c r="A39" s="251"/>
      <c r="B39" s="125" t="s">
        <v>36</v>
      </c>
      <c r="C39" s="53">
        <f>C10/Parametros!$C$42</f>
        <v>1.5729166666666666E-2</v>
      </c>
      <c r="D39" s="84">
        <f>E10/Parametros!$C$43</f>
        <v>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x14ac:dyDescent="0.25">
      <c r="A40" s="251"/>
      <c r="B40" s="125" t="s">
        <v>144</v>
      </c>
      <c r="C40" s="53">
        <f>C11/Parametros!$C$42</f>
        <v>1.9010416666666665E-2</v>
      </c>
      <c r="D40" s="84">
        <f>E11/Parametros!$C$43</f>
        <v>2.5499999999999998E-2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x14ac:dyDescent="0.25">
      <c r="A41" s="250"/>
      <c r="B41" s="31" t="s">
        <v>125</v>
      </c>
      <c r="C41" s="54">
        <f>C12/Parametros!$C$42</f>
        <v>1.3348022324341074E-2</v>
      </c>
      <c r="D41" s="85">
        <f>E12/Parametros!$C$43</f>
        <v>2.2939327519186738E-2</v>
      </c>
      <c r="E41" s="57"/>
      <c r="F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x14ac:dyDescent="0.25">
      <c r="A42" s="249" t="s">
        <v>19</v>
      </c>
      <c r="B42" s="125" t="s">
        <v>53</v>
      </c>
      <c r="C42" s="53">
        <f>C13/Parametros!$C$42</f>
        <v>0.04</v>
      </c>
      <c r="D42" s="84">
        <f>E13/Parametros!$C$43</f>
        <v>0.02</v>
      </c>
      <c r="E42" s="57"/>
      <c r="F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14.25" thickBot="1" x14ac:dyDescent="0.3">
      <c r="A43" s="250"/>
      <c r="B43" s="31" t="s">
        <v>126</v>
      </c>
      <c r="C43" s="56">
        <f ca="1">C14/Parametros!$C$42</f>
        <v>0.17222399999999996</v>
      </c>
      <c r="D43" s="87">
        <f ca="1">E14/Parametros!$C$43</f>
        <v>1.67992E-2</v>
      </c>
      <c r="K43" s="57"/>
      <c r="L43" s="57"/>
      <c r="M43" s="57"/>
      <c r="N43" s="57"/>
      <c r="O43" s="57"/>
      <c r="P43" s="57"/>
      <c r="Q43" s="57"/>
      <c r="R43" s="57"/>
      <c r="S43" s="57"/>
    </row>
    <row r="44" spans="1:19" x14ac:dyDescent="0.25">
      <c r="A44" s="72" t="s">
        <v>127</v>
      </c>
      <c r="B44" s="73" t="s">
        <v>128</v>
      </c>
      <c r="C44" s="53">
        <f>C17/Parametros!$C$42</f>
        <v>1.0279999999999999E-2</v>
      </c>
      <c r="D44" s="83">
        <f>E17/Parametros!$C$43</f>
        <v>2.2080000000000003E-4</v>
      </c>
      <c r="K44" s="57"/>
      <c r="L44" s="57"/>
      <c r="M44" s="57"/>
      <c r="N44" s="57"/>
      <c r="O44" s="57"/>
      <c r="P44" s="57"/>
      <c r="Q44" s="57"/>
      <c r="R44" s="57"/>
      <c r="S44" s="57"/>
    </row>
    <row r="45" spans="1:19" x14ac:dyDescent="0.25"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85" spans="1:17" s="32" customFormat="1" x14ac:dyDescent="0.25"/>
    <row r="86" spans="1:17" s="32" customFormat="1" x14ac:dyDescent="0.25">
      <c r="P86" s="131"/>
      <c r="Q86" s="131"/>
    </row>
    <row r="87" spans="1:17" x14ac:dyDescent="0.25">
      <c r="A87" s="66" t="s">
        <v>140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x14ac:dyDescent="0.25">
      <c r="A88" s="244" t="s">
        <v>122</v>
      </c>
      <c r="B88" s="244"/>
      <c r="C88" s="244"/>
      <c r="D88" s="244"/>
      <c r="E88" s="244"/>
      <c r="F88" s="244"/>
      <c r="G88" s="59"/>
      <c r="H88" s="59"/>
    </row>
    <row r="89" spans="1:17" ht="24.6" customHeight="1" x14ac:dyDescent="0.25">
      <c r="C89" s="124" t="s">
        <v>150</v>
      </c>
      <c r="D89" s="124" t="s">
        <v>151</v>
      </c>
      <c r="E89" s="132" t="s">
        <v>152</v>
      </c>
      <c r="F89" s="132" t="s">
        <v>153</v>
      </c>
      <c r="G89" s="57"/>
      <c r="H89" s="57"/>
    </row>
    <row r="90" spans="1:17" x14ac:dyDescent="0.25">
      <c r="B90" s="29"/>
      <c r="C90" s="32"/>
      <c r="D90" s="32"/>
      <c r="E90" s="32"/>
      <c r="F90" s="32"/>
      <c r="G90" s="32"/>
      <c r="H90" s="32"/>
    </row>
    <row r="91" spans="1:17" x14ac:dyDescent="0.25">
      <c r="A91" s="249" t="s">
        <v>17</v>
      </c>
      <c r="B91" s="33" t="s">
        <v>160</v>
      </c>
      <c r="C91" s="34">
        <f>C4</f>
        <v>12500</v>
      </c>
      <c r="D91" s="34">
        <f>C4</f>
        <v>12500</v>
      </c>
      <c r="E91" s="35">
        <f>E4</f>
        <v>34000</v>
      </c>
      <c r="F91" s="35">
        <f>E4</f>
        <v>34000</v>
      </c>
      <c r="G91" s="58"/>
      <c r="H91" s="58"/>
    </row>
    <row r="92" spans="1:17" x14ac:dyDescent="0.25">
      <c r="A92" s="251"/>
      <c r="B92" s="33" t="s">
        <v>64</v>
      </c>
      <c r="C92" s="34">
        <f>C5</f>
        <v>0</v>
      </c>
      <c r="D92" s="34">
        <f t="shared" ref="D92:D94" si="2">C92</f>
        <v>0</v>
      </c>
      <c r="E92" s="35">
        <f>E5</f>
        <v>2000</v>
      </c>
      <c r="F92" s="35">
        <f>E92</f>
        <v>2000</v>
      </c>
      <c r="G92" s="58"/>
      <c r="H92" s="58"/>
    </row>
    <row r="93" spans="1:17" x14ac:dyDescent="0.25">
      <c r="A93" s="250"/>
      <c r="B93" s="31" t="s">
        <v>124</v>
      </c>
      <c r="C93" s="34">
        <v>0</v>
      </c>
      <c r="D93" s="34">
        <v>0</v>
      </c>
      <c r="E93" s="35">
        <v>0</v>
      </c>
      <c r="F93" s="35">
        <v>0</v>
      </c>
      <c r="G93" s="58"/>
      <c r="H93" s="58"/>
    </row>
    <row r="94" spans="1:17" x14ac:dyDescent="0.25">
      <c r="A94" s="249" t="s">
        <v>18</v>
      </c>
      <c r="B94" s="30" t="s">
        <v>92</v>
      </c>
      <c r="C94" s="38">
        <f t="shared" ref="C94:C99" si="3">C7</f>
        <v>625</v>
      </c>
      <c r="D94" s="38">
        <f t="shared" si="2"/>
        <v>625</v>
      </c>
      <c r="E94" s="39">
        <f t="shared" ref="E94:E99" si="4">E7</f>
        <v>1700</v>
      </c>
      <c r="F94" s="80">
        <f t="shared" ref="F94" si="5">E94</f>
        <v>1700</v>
      </c>
      <c r="G94" s="58"/>
      <c r="H94" s="58"/>
    </row>
    <row r="95" spans="1:17" x14ac:dyDescent="0.25">
      <c r="A95" s="251"/>
      <c r="B95" s="33" t="s">
        <v>37</v>
      </c>
      <c r="C95" s="34">
        <f t="shared" si="3"/>
        <v>2875</v>
      </c>
      <c r="D95" s="34">
        <f t="shared" ref="D95:D99" si="6">C95</f>
        <v>2875</v>
      </c>
      <c r="E95" s="35">
        <f t="shared" si="4"/>
        <v>0</v>
      </c>
      <c r="F95" s="81">
        <f t="shared" ref="F95:F99" si="7">E95</f>
        <v>0</v>
      </c>
      <c r="G95" s="58"/>
      <c r="H95" s="58"/>
    </row>
    <row r="96" spans="1:17" x14ac:dyDescent="0.25">
      <c r="A96" s="251"/>
      <c r="B96" s="33" t="s">
        <v>93</v>
      </c>
      <c r="C96" s="34">
        <f t="shared" si="3"/>
        <v>2750</v>
      </c>
      <c r="D96" s="34">
        <f t="shared" si="6"/>
        <v>2750</v>
      </c>
      <c r="E96" s="35">
        <f t="shared" si="4"/>
        <v>7480</v>
      </c>
      <c r="F96" s="81">
        <f t="shared" si="7"/>
        <v>7480</v>
      </c>
      <c r="G96" s="58"/>
      <c r="H96" s="58"/>
    </row>
    <row r="97" spans="1:8" x14ac:dyDescent="0.25">
      <c r="A97" s="251"/>
      <c r="B97" s="125" t="s">
        <v>36</v>
      </c>
      <c r="C97" s="34">
        <f t="shared" si="3"/>
        <v>3775</v>
      </c>
      <c r="D97" s="34">
        <f t="shared" si="6"/>
        <v>3775</v>
      </c>
      <c r="E97" s="35">
        <f t="shared" si="4"/>
        <v>0</v>
      </c>
      <c r="F97" s="81">
        <f t="shared" si="7"/>
        <v>0</v>
      </c>
      <c r="G97" s="58"/>
      <c r="H97" s="58"/>
    </row>
    <row r="98" spans="1:8" x14ac:dyDescent="0.25">
      <c r="A98" s="251"/>
      <c r="B98" s="125" t="s">
        <v>144</v>
      </c>
      <c r="C98" s="34">
        <f t="shared" si="3"/>
        <v>4562.5</v>
      </c>
      <c r="D98" s="34">
        <f t="shared" si="6"/>
        <v>4562.5</v>
      </c>
      <c r="E98" s="35">
        <f t="shared" si="4"/>
        <v>6120</v>
      </c>
      <c r="F98" s="81">
        <f t="shared" si="7"/>
        <v>6120</v>
      </c>
      <c r="G98" s="58"/>
      <c r="H98" s="58"/>
    </row>
    <row r="99" spans="1:8" x14ac:dyDescent="0.25">
      <c r="A99" s="250"/>
      <c r="B99" s="31" t="s">
        <v>125</v>
      </c>
      <c r="C99" s="36">
        <f t="shared" si="3"/>
        <v>3203.5253578418578</v>
      </c>
      <c r="D99" s="36">
        <f t="shared" si="6"/>
        <v>3203.5253578418578</v>
      </c>
      <c r="E99" s="37">
        <f t="shared" si="4"/>
        <v>5505.4386046048166</v>
      </c>
      <c r="F99" s="82">
        <f t="shared" si="7"/>
        <v>5505.4386046048166</v>
      </c>
      <c r="G99" s="58"/>
      <c r="H99" s="58"/>
    </row>
    <row r="100" spans="1:8" x14ac:dyDescent="0.25">
      <c r="A100" s="249" t="s">
        <v>19</v>
      </c>
      <c r="B100" s="125" t="s">
        <v>53</v>
      </c>
      <c r="C100" s="92">
        <f>(Parametros!$C$8+Parametros!$C$9+Parametros!$C$10)*Parametros!$H$42</f>
        <v>16000</v>
      </c>
      <c r="D100" s="92">
        <f>(Parametros!$C$8+Parametros!$C$9+Parametros!$C$10)*Parametros!$I$42</f>
        <v>4800</v>
      </c>
      <c r="E100" s="92">
        <f>Parametros!$H$43*(Parametros!$C$20+Parametros!$C$21+Parametros!$C$22)</f>
        <v>8000</v>
      </c>
      <c r="F100" s="92">
        <f>Parametros!$I$43*(Parametros!$C$20+Parametros!$C$21+Parametros!$C$22)</f>
        <v>2400</v>
      </c>
      <c r="G100" s="58"/>
      <c r="H100" s="58"/>
    </row>
    <row r="101" spans="1:8" x14ac:dyDescent="0.25">
      <c r="A101" s="250"/>
      <c r="B101" s="31" t="s">
        <v>126</v>
      </c>
      <c r="C101" s="98">
        <f ca="1">SUM(Parametros!$K$80:OFFSET(Parametros!$K$80,Parametros!$C$6-1,0))</f>
        <v>68889.599999999991</v>
      </c>
      <c r="D101" s="98">
        <f ca="1">SUM(Parametros!$L$80:OFFSET(Parametros!$L$80,Parametros!$C$6-1,0))</f>
        <v>20666.879999999994</v>
      </c>
      <c r="E101" s="98">
        <f ca="1">SUM(Parametros!$M$80:OFFSET(Parametros!$M$80,Parametros!$C$17-1,0))</f>
        <v>6719.68</v>
      </c>
      <c r="F101" s="98">
        <f ca="1">SUM(Parametros!$N$80:OFFSET(Parametros!$N$80,Parametros!$C$17-1,0))</f>
        <v>2015.9040000000002</v>
      </c>
      <c r="G101" s="58"/>
      <c r="H101" s="58"/>
    </row>
    <row r="102" spans="1:8" x14ac:dyDescent="0.25">
      <c r="A102" s="72" t="s">
        <v>127</v>
      </c>
      <c r="B102" s="73" t="s">
        <v>128</v>
      </c>
      <c r="C102" s="92">
        <f>Parametros!$F$139</f>
        <v>4112</v>
      </c>
      <c r="D102" s="92">
        <f>Parametros!$G$139</f>
        <v>1233.5999999999999</v>
      </c>
      <c r="E102" s="92">
        <f>Parametros!$H$139</f>
        <v>88.320000000000022</v>
      </c>
      <c r="F102" s="93">
        <f>Parametros!$I$139</f>
        <v>26.496000000000002</v>
      </c>
      <c r="G102" s="58"/>
      <c r="H102" s="58"/>
    </row>
    <row r="103" spans="1:8" x14ac:dyDescent="0.25">
      <c r="C103" s="62"/>
      <c r="D103" s="62"/>
      <c r="E103" s="62"/>
      <c r="G103" s="32"/>
      <c r="H103" s="32"/>
    </row>
    <row r="104" spans="1:8" ht="16.5" x14ac:dyDescent="0.3">
      <c r="A104" s="245" t="s">
        <v>129</v>
      </c>
      <c r="B104" s="245"/>
      <c r="C104" s="129">
        <f ca="1">SUM(C91:C101)</f>
        <v>115180.62535784184</v>
      </c>
      <c r="D104" s="129">
        <f ca="1">SUM(D91:D101)</f>
        <v>55757.905357841853</v>
      </c>
      <c r="E104" s="52">
        <f ca="1">SUM(E91:E101)</f>
        <v>71525.118604604824</v>
      </c>
      <c r="F104" s="52">
        <f ca="1">SUM(F91:F101)</f>
        <v>61221.342604604819</v>
      </c>
      <c r="G104" s="60"/>
      <c r="H104" s="60"/>
    </row>
    <row r="105" spans="1:8" ht="16.5" x14ac:dyDescent="0.3">
      <c r="A105" s="245" t="s">
        <v>130</v>
      </c>
      <c r="B105" s="245"/>
      <c r="C105" s="45">
        <f ca="1">C104/Parametros!$H$42</f>
        <v>0.28795156339460459</v>
      </c>
      <c r="D105" s="45">
        <f ca="1">D104/Parametros!$I$42</f>
        <v>0.46464921131534875</v>
      </c>
      <c r="E105" s="46">
        <f ca="1">E104/Parametros!$H$43</f>
        <v>0.17881279651151205</v>
      </c>
      <c r="F105" s="46">
        <f ca="1">F104/Parametros!$I$43</f>
        <v>0.51017785503837354</v>
      </c>
      <c r="G105" s="60"/>
      <c r="H105" s="60"/>
    </row>
    <row r="106" spans="1:8" ht="16.5" x14ac:dyDescent="0.3">
      <c r="A106" s="245" t="s">
        <v>131</v>
      </c>
      <c r="B106" s="245"/>
      <c r="C106" s="45"/>
      <c r="D106" s="45"/>
      <c r="E106" s="44"/>
      <c r="F106" s="46"/>
      <c r="G106" s="61"/>
      <c r="H106" s="61"/>
    </row>
    <row r="107" spans="1:8" x14ac:dyDescent="0.25">
      <c r="G107" s="32"/>
      <c r="H107" s="32"/>
    </row>
    <row r="108" spans="1:8" ht="16.5" x14ac:dyDescent="0.3">
      <c r="A108" s="245" t="s">
        <v>132</v>
      </c>
      <c r="B108" s="245"/>
      <c r="C108" s="129">
        <f ca="1">C104+C102</f>
        <v>119292.62535784184</v>
      </c>
      <c r="D108" s="129">
        <f t="shared" ref="D108:F108" ca="1" si="8">D104+D102</f>
        <v>56991.505357841852</v>
      </c>
      <c r="E108" s="52">
        <f t="shared" ca="1" si="8"/>
        <v>71613.438604604831</v>
      </c>
      <c r="F108" s="52">
        <f t="shared" ca="1" si="8"/>
        <v>61247.838604604818</v>
      </c>
      <c r="G108" s="60"/>
      <c r="H108" s="60"/>
    </row>
    <row r="109" spans="1:8" ht="16.5" x14ac:dyDescent="0.3">
      <c r="A109" s="245" t="s">
        <v>133</v>
      </c>
      <c r="B109" s="245"/>
      <c r="C109" s="45">
        <f ca="1">C108/Parametros!$H$42</f>
        <v>0.2982315633946046</v>
      </c>
      <c r="D109" s="45">
        <f ca="1">D108/Parametros!$I$42</f>
        <v>0.47492921131534876</v>
      </c>
      <c r="E109" s="46">
        <f ca="1">E108/Parametros!$H$43</f>
        <v>0.17903359651151207</v>
      </c>
      <c r="F109" s="46">
        <f ca="1">F108/Parametros!$I$43</f>
        <v>0.51039865503837345</v>
      </c>
      <c r="G109" s="60"/>
      <c r="H109" s="60"/>
    </row>
    <row r="110" spans="1:8" ht="16.5" x14ac:dyDescent="0.3">
      <c r="A110" s="245" t="s">
        <v>131</v>
      </c>
      <c r="B110" s="245"/>
      <c r="C110" s="45"/>
      <c r="D110" s="45"/>
      <c r="E110" s="44"/>
      <c r="F110" s="46"/>
      <c r="G110" s="61"/>
      <c r="H110" s="61"/>
    </row>
    <row r="112" spans="1:8" x14ac:dyDescent="0.25">
      <c r="A112" s="244" t="s">
        <v>137</v>
      </c>
      <c r="B112" s="244"/>
      <c r="C112" s="244"/>
      <c r="D112" s="244"/>
      <c r="E112" s="244"/>
      <c r="F112" s="244"/>
      <c r="G112" s="59"/>
      <c r="H112" s="59"/>
    </row>
    <row r="113" spans="1:8" ht="22.5" customHeight="1" x14ac:dyDescent="0.25">
      <c r="C113" s="124" t="s">
        <v>154</v>
      </c>
      <c r="D113" s="124" t="s">
        <v>148</v>
      </c>
      <c r="E113" s="124" t="s">
        <v>149</v>
      </c>
      <c r="F113" s="132" t="s">
        <v>155</v>
      </c>
      <c r="G113" s="132" t="s">
        <v>148</v>
      </c>
      <c r="H113" s="132" t="s">
        <v>149</v>
      </c>
    </row>
    <row r="114" spans="1:8" x14ac:dyDescent="0.25">
      <c r="B114" s="29"/>
      <c r="C114" s="32"/>
      <c r="D114" s="32"/>
      <c r="E114" s="32"/>
      <c r="F114" s="32"/>
      <c r="G114" s="32"/>
      <c r="H114" s="32"/>
    </row>
    <row r="115" spans="1:8" x14ac:dyDescent="0.25">
      <c r="A115" s="249" t="s">
        <v>17</v>
      </c>
      <c r="B115" s="125" t="s">
        <v>161</v>
      </c>
      <c r="C115" s="53">
        <f>C33</f>
        <v>5.2083333333333336E-2</v>
      </c>
      <c r="D115" s="53">
        <f>C91/Parametros!$H$42</f>
        <v>3.125E-2</v>
      </c>
      <c r="E115" s="53">
        <f>D91/Parametros!$I$42</f>
        <v>0.10416666666666667</v>
      </c>
      <c r="F115" s="84">
        <f t="shared" ref="F115:F126" si="9">D33</f>
        <v>0.14166666666666666</v>
      </c>
      <c r="G115" s="84">
        <f>E91/Parametros!$H$43</f>
        <v>8.5000000000000006E-2</v>
      </c>
      <c r="H115" s="84">
        <f>F91/Parametros!$I$43</f>
        <v>0.28333333333333333</v>
      </c>
    </row>
    <row r="116" spans="1:8" x14ac:dyDescent="0.25">
      <c r="A116" s="251"/>
      <c r="B116" s="33" t="s">
        <v>64</v>
      </c>
      <c r="C116" s="53">
        <f>C34</f>
        <v>0</v>
      </c>
      <c r="D116" s="53">
        <f>C92/Parametros!$H$42</f>
        <v>0</v>
      </c>
      <c r="E116" s="53">
        <f>D92/Parametros!$I$42</f>
        <v>0</v>
      </c>
      <c r="F116" s="84">
        <f t="shared" si="9"/>
        <v>8.3333333333333332E-3</v>
      </c>
      <c r="G116" s="84">
        <f>E92/Parametros!$H$43</f>
        <v>5.0000000000000001E-3</v>
      </c>
      <c r="H116" s="84">
        <f>F92/Parametros!$I$43</f>
        <v>1.6666666666666666E-2</v>
      </c>
    </row>
    <row r="117" spans="1:8" x14ac:dyDescent="0.25">
      <c r="A117" s="250"/>
      <c r="B117" s="31" t="s">
        <v>124</v>
      </c>
      <c r="C117" s="53">
        <v>0</v>
      </c>
      <c r="D117" s="53">
        <v>0</v>
      </c>
      <c r="E117" s="53">
        <v>0</v>
      </c>
      <c r="F117" s="84">
        <f t="shared" si="9"/>
        <v>0</v>
      </c>
      <c r="G117" s="84">
        <f>E93/Parametros!$H$43</f>
        <v>0</v>
      </c>
      <c r="H117" s="84">
        <f>F93/Parametros!$I$43</f>
        <v>0</v>
      </c>
    </row>
    <row r="118" spans="1:8" x14ac:dyDescent="0.25">
      <c r="A118" s="249" t="s">
        <v>18</v>
      </c>
      <c r="B118" s="30" t="s">
        <v>92</v>
      </c>
      <c r="C118" s="55">
        <f t="shared" ref="C118:C126" si="10">C36</f>
        <v>2.6041666666666665E-3</v>
      </c>
      <c r="D118" s="55">
        <f>C94/Parametros!$H$42</f>
        <v>1.5625000000000001E-3</v>
      </c>
      <c r="E118" s="55">
        <f>D94/Parametros!$I$42</f>
        <v>5.208333333333333E-3</v>
      </c>
      <c r="F118" s="86">
        <f t="shared" si="9"/>
        <v>7.083333333333333E-3</v>
      </c>
      <c r="G118" s="86">
        <f>E94/Parametros!$H$43</f>
        <v>4.2500000000000003E-3</v>
      </c>
      <c r="H118" s="86">
        <f>F94/Parametros!$I$43</f>
        <v>1.4166666666666666E-2</v>
      </c>
    </row>
    <row r="119" spans="1:8" x14ac:dyDescent="0.25">
      <c r="A119" s="251"/>
      <c r="B119" s="33" t="s">
        <v>37</v>
      </c>
      <c r="C119" s="53">
        <f t="shared" si="10"/>
        <v>1.1979166666666667E-2</v>
      </c>
      <c r="D119" s="53">
        <f>C95/Parametros!$H$42</f>
        <v>7.1875000000000003E-3</v>
      </c>
      <c r="E119" s="53">
        <f>D95/Parametros!$I$42</f>
        <v>2.3958333333333335E-2</v>
      </c>
      <c r="F119" s="84">
        <f t="shared" si="9"/>
        <v>0</v>
      </c>
      <c r="G119" s="84">
        <f>E95/Parametros!$H$43</f>
        <v>0</v>
      </c>
      <c r="H119" s="84">
        <f>F95/Parametros!$I$43</f>
        <v>0</v>
      </c>
    </row>
    <row r="120" spans="1:8" x14ac:dyDescent="0.25">
      <c r="A120" s="251"/>
      <c r="B120" s="33" t="s">
        <v>93</v>
      </c>
      <c r="C120" s="53">
        <f t="shared" si="10"/>
        <v>1.1458333333333333E-2</v>
      </c>
      <c r="D120" s="53">
        <f>C96/Parametros!$H$42</f>
        <v>6.875E-3</v>
      </c>
      <c r="E120" s="53">
        <f>D96/Parametros!$I$42</f>
        <v>2.2916666666666665E-2</v>
      </c>
      <c r="F120" s="84">
        <f t="shared" si="9"/>
        <v>3.1166666666666665E-2</v>
      </c>
      <c r="G120" s="84">
        <f>E96/Parametros!$H$43</f>
        <v>1.8700000000000001E-2</v>
      </c>
      <c r="H120" s="84">
        <f>F96/Parametros!$I$43</f>
        <v>6.2333333333333331E-2</v>
      </c>
    </row>
    <row r="121" spans="1:8" x14ac:dyDescent="0.25">
      <c r="A121" s="251"/>
      <c r="B121" s="125" t="s">
        <v>36</v>
      </c>
      <c r="C121" s="53">
        <f t="shared" si="10"/>
        <v>1.5729166666666666E-2</v>
      </c>
      <c r="D121" s="53">
        <f>C97/Parametros!$H$42</f>
        <v>9.4374999999999997E-3</v>
      </c>
      <c r="E121" s="53">
        <f>D97/Parametros!$I$42</f>
        <v>3.1458333333333331E-2</v>
      </c>
      <c r="F121" s="84">
        <f t="shared" si="9"/>
        <v>0</v>
      </c>
      <c r="G121" s="84">
        <f>E97/Parametros!$H$43</f>
        <v>0</v>
      </c>
      <c r="H121" s="84">
        <f>F97/Parametros!$I$43</f>
        <v>0</v>
      </c>
    </row>
    <row r="122" spans="1:8" x14ac:dyDescent="0.25">
      <c r="A122" s="251"/>
      <c r="B122" s="125" t="s">
        <v>144</v>
      </c>
      <c r="C122" s="53">
        <f t="shared" si="10"/>
        <v>1.9010416666666665E-2</v>
      </c>
      <c r="D122" s="53">
        <f>C98/Parametros!$H$42</f>
        <v>1.140625E-2</v>
      </c>
      <c r="E122" s="53">
        <f>D98/Parametros!$I$42</f>
        <v>3.802083333333333E-2</v>
      </c>
      <c r="F122" s="84">
        <f t="shared" si="9"/>
        <v>2.5499999999999998E-2</v>
      </c>
      <c r="G122" s="84">
        <f>E98/Parametros!$H$43</f>
        <v>1.5299999999999999E-2</v>
      </c>
      <c r="H122" s="84">
        <f>F98/Parametros!$I$43</f>
        <v>5.0999999999999997E-2</v>
      </c>
    </row>
    <row r="123" spans="1:8" x14ac:dyDescent="0.25">
      <c r="A123" s="250"/>
      <c r="B123" s="31" t="s">
        <v>125</v>
      </c>
      <c r="C123" s="54">
        <f t="shared" si="10"/>
        <v>1.3348022324341074E-2</v>
      </c>
      <c r="D123" s="54">
        <f>C99/Parametros!$H$42</f>
        <v>8.0088133946046441E-3</v>
      </c>
      <c r="E123" s="54">
        <f>D99/Parametros!$I$42</f>
        <v>2.6696044648682148E-2</v>
      </c>
      <c r="F123" s="85">
        <f t="shared" si="9"/>
        <v>2.2939327519186738E-2</v>
      </c>
      <c r="G123" s="85">
        <f>E99/Parametros!$H$43</f>
        <v>1.3763596511512042E-2</v>
      </c>
      <c r="H123" s="85">
        <f>F99/Parametros!$I$43</f>
        <v>4.5878655038373475E-2</v>
      </c>
    </row>
    <row r="124" spans="1:8" x14ac:dyDescent="0.25">
      <c r="A124" s="249" t="s">
        <v>19</v>
      </c>
      <c r="B124" s="125" t="s">
        <v>53</v>
      </c>
      <c r="C124" s="53">
        <f t="shared" si="10"/>
        <v>0.04</v>
      </c>
      <c r="D124" s="53">
        <f>C100/Parametros!$H$42</f>
        <v>0.04</v>
      </c>
      <c r="E124" s="53">
        <f>D100/Parametros!$I$42</f>
        <v>0.04</v>
      </c>
      <c r="F124" s="84">
        <f t="shared" si="9"/>
        <v>0.02</v>
      </c>
      <c r="G124" s="84">
        <f>E100/Parametros!$H$43</f>
        <v>0.02</v>
      </c>
      <c r="H124" s="84">
        <f>F100/Parametros!$I$43</f>
        <v>0.02</v>
      </c>
    </row>
    <row r="125" spans="1:8" ht="14.25" thickBot="1" x14ac:dyDescent="0.3">
      <c r="A125" s="250"/>
      <c r="B125" s="31" t="s">
        <v>126</v>
      </c>
      <c r="C125" s="56">
        <f t="shared" ca="1" si="10"/>
        <v>0.17222399999999996</v>
      </c>
      <c r="D125" s="56">
        <f ca="1">C101/Parametros!$H$42</f>
        <v>0.17222399999999999</v>
      </c>
      <c r="E125" s="56">
        <f ca="1">D101/Parametros!$I$42</f>
        <v>0.17222399999999996</v>
      </c>
      <c r="F125" s="87">
        <f t="shared" ca="1" si="9"/>
        <v>1.67992E-2</v>
      </c>
      <c r="G125" s="87">
        <f ca="1">E101/Parametros!$H$43</f>
        <v>1.67992E-2</v>
      </c>
      <c r="H125" s="87">
        <f ca="1">F101/Parametros!$I$43</f>
        <v>1.67992E-2</v>
      </c>
    </row>
    <row r="126" spans="1:8" x14ac:dyDescent="0.25">
      <c r="A126" s="72" t="s">
        <v>127</v>
      </c>
      <c r="B126" s="73" t="s">
        <v>128</v>
      </c>
      <c r="C126" s="53">
        <f t="shared" si="10"/>
        <v>1.0279999999999999E-2</v>
      </c>
      <c r="D126" s="53">
        <f>C102/Parametros!$H$42</f>
        <v>1.0279999999999999E-2</v>
      </c>
      <c r="E126" s="53">
        <f>D102/Parametros!$I$42</f>
        <v>1.0279999999999999E-2</v>
      </c>
      <c r="F126" s="84">
        <f t="shared" si="9"/>
        <v>2.2080000000000003E-4</v>
      </c>
      <c r="G126" s="84">
        <f>E102/Parametros!$H$43</f>
        <v>2.2080000000000005E-4</v>
      </c>
      <c r="H126" s="84">
        <f>F102/Parametros!$I$43</f>
        <v>2.2080000000000003E-4</v>
      </c>
    </row>
    <row r="127" spans="1:8" x14ac:dyDescent="0.25">
      <c r="B127" s="88" t="s">
        <v>175</v>
      </c>
      <c r="C127" s="89">
        <f t="shared" ref="C127:H127" ca="1" si="11">SUM(C115:C126)</f>
        <v>0.34871660565767443</v>
      </c>
      <c r="D127" s="89">
        <f t="shared" ca="1" si="11"/>
        <v>0.2982315633946046</v>
      </c>
      <c r="E127" s="89">
        <f t="shared" ca="1" si="11"/>
        <v>0.47492921131534876</v>
      </c>
      <c r="F127" s="89">
        <f t="shared" ca="1" si="11"/>
        <v>0.27370932751918675</v>
      </c>
      <c r="G127" s="89">
        <f t="shared" ca="1" si="11"/>
        <v>0.17903359651151204</v>
      </c>
      <c r="H127" s="89">
        <f t="shared" ca="1" si="11"/>
        <v>0.51039865503837345</v>
      </c>
    </row>
    <row r="129" spans="2:12" x14ac:dyDescent="0.25">
      <c r="J129" s="32"/>
      <c r="K129" s="32"/>
    </row>
    <row r="130" spans="2:12" ht="16.5" x14ac:dyDescent="0.3">
      <c r="C130" s="4" t="s">
        <v>146</v>
      </c>
      <c r="D130" s="41" t="s">
        <v>147</v>
      </c>
      <c r="J130" s="60"/>
      <c r="K130" s="60"/>
    </row>
    <row r="131" spans="2:12" ht="16.5" x14ac:dyDescent="0.3">
      <c r="B131" s="90">
        <f>Parametros!I41</f>
        <v>15000</v>
      </c>
      <c r="C131" s="89">
        <f ca="1">E127</f>
        <v>0.47492921131534876</v>
      </c>
      <c r="D131" s="89">
        <f ca="1">H127</f>
        <v>0.51039865503837345</v>
      </c>
      <c r="J131" s="61"/>
      <c r="K131" s="61"/>
    </row>
    <row r="132" spans="2:12" x14ac:dyDescent="0.25">
      <c r="B132" s="90">
        <f>Parametros!C41</f>
        <v>30000</v>
      </c>
      <c r="C132" s="89">
        <f ca="1">C127</f>
        <v>0.34871660565767443</v>
      </c>
      <c r="D132" s="89">
        <f ca="1">F127</f>
        <v>0.27370932751918675</v>
      </c>
      <c r="J132" s="32"/>
      <c r="K132" s="32"/>
    </row>
    <row r="133" spans="2:12" ht="16.5" x14ac:dyDescent="0.3">
      <c r="B133" s="90">
        <f>Parametros!H41</f>
        <v>50000</v>
      </c>
      <c r="C133" s="89">
        <f ca="1">D127</f>
        <v>0.2982315633946046</v>
      </c>
      <c r="D133" s="89">
        <f ca="1">G127</f>
        <v>0.17903359651151204</v>
      </c>
      <c r="J133" s="60"/>
      <c r="K133" s="60"/>
    </row>
    <row r="134" spans="2:12" x14ac:dyDescent="0.25">
      <c r="I134" s="58"/>
      <c r="J134" s="58"/>
      <c r="K134" s="58"/>
      <c r="L134" s="58"/>
    </row>
    <row r="135" spans="2:12" x14ac:dyDescent="0.25">
      <c r="I135" s="58"/>
      <c r="J135" s="58"/>
      <c r="K135" s="58"/>
      <c r="L135" s="58"/>
    </row>
    <row r="136" spans="2:12" ht="14.25" customHeight="1" x14ac:dyDescent="0.25">
      <c r="C136" s="248" t="s">
        <v>162</v>
      </c>
      <c r="D136" s="248" t="s">
        <v>163</v>
      </c>
      <c r="E136" s="248" t="s">
        <v>168</v>
      </c>
      <c r="F136" s="248"/>
      <c r="G136" s="246" t="s">
        <v>167</v>
      </c>
      <c r="H136" s="247"/>
      <c r="I136" s="58"/>
      <c r="J136" s="58"/>
      <c r="K136" s="58"/>
      <c r="L136" s="58"/>
    </row>
    <row r="137" spans="2:12" ht="14.25" x14ac:dyDescent="0.25">
      <c r="C137" s="248"/>
      <c r="D137" s="248"/>
      <c r="E137" s="133" t="s">
        <v>1</v>
      </c>
      <c r="F137" s="133" t="s">
        <v>3</v>
      </c>
      <c r="G137" s="133" t="s">
        <v>1</v>
      </c>
      <c r="H137" s="133" t="s">
        <v>3</v>
      </c>
      <c r="I137" s="58"/>
      <c r="J137" s="58"/>
      <c r="K137" s="58"/>
      <c r="L137" s="58"/>
    </row>
    <row r="138" spans="2:12" ht="16.5" x14ac:dyDescent="0.25">
      <c r="C138" s="140" t="s">
        <v>164</v>
      </c>
      <c r="D138" s="141">
        <f>B131</f>
        <v>15000</v>
      </c>
      <c r="E138" s="141">
        <f ca="1">F138*D138*Parametros!$C$6</f>
        <v>56991.505357841852</v>
      </c>
      <c r="F138" s="142">
        <f ca="1">E127</f>
        <v>0.47492921131534876</v>
      </c>
      <c r="G138" s="141">
        <f ca="1">H138*D138*Parametros!$C$17</f>
        <v>61247.838604604811</v>
      </c>
      <c r="H138" s="142">
        <f ca="1">D131</f>
        <v>0.51039865503837345</v>
      </c>
      <c r="I138" s="58"/>
      <c r="J138" s="58"/>
    </row>
    <row r="139" spans="2:12" ht="16.5" x14ac:dyDescent="0.25">
      <c r="C139" s="137" t="s">
        <v>165</v>
      </c>
      <c r="D139" s="138">
        <f t="shared" ref="D139:D140" si="12">B132</f>
        <v>30000</v>
      </c>
      <c r="E139" s="138">
        <f ca="1">F139*D139*Parametros!$C$6</f>
        <v>83691.98535784187</v>
      </c>
      <c r="F139" s="139">
        <f ca="1">C127</f>
        <v>0.34871660565767443</v>
      </c>
      <c r="G139" s="138">
        <f ca="1">H139*D139*Parametros!$C$17</f>
        <v>65690.23860460482</v>
      </c>
      <c r="H139" s="139">
        <f ca="1">D132</f>
        <v>0.27370932751918675</v>
      </c>
      <c r="I139" s="58"/>
      <c r="J139" s="58"/>
    </row>
    <row r="140" spans="2:12" ht="16.5" x14ac:dyDescent="0.25">
      <c r="C140" s="134" t="s">
        <v>166</v>
      </c>
      <c r="D140" s="135">
        <f t="shared" si="12"/>
        <v>50000</v>
      </c>
      <c r="E140" s="135">
        <f ca="1">F140*D140*Parametros!$C$6</f>
        <v>119292.62535784184</v>
      </c>
      <c r="F140" s="136">
        <f ca="1">D127</f>
        <v>0.2982315633946046</v>
      </c>
      <c r="G140" s="135">
        <f ca="1">H140*D140*Parametros!$C$17</f>
        <v>71613.438604604817</v>
      </c>
      <c r="H140" s="136">
        <f ca="1">D133</f>
        <v>0.17903359651151204</v>
      </c>
      <c r="I140" s="58"/>
      <c r="J140" s="58"/>
    </row>
    <row r="141" spans="2:12" x14ac:dyDescent="0.25">
      <c r="I141" s="58"/>
      <c r="J141" s="58"/>
    </row>
    <row r="142" spans="2:12" x14ac:dyDescent="0.25">
      <c r="I142" s="58"/>
      <c r="J142" s="58"/>
    </row>
  </sheetData>
  <mergeCells count="34">
    <mergeCell ref="A29:B29"/>
    <mergeCell ref="A115:A117"/>
    <mergeCell ref="A118:A123"/>
    <mergeCell ref="A31:F31"/>
    <mergeCell ref="A28:B28"/>
    <mergeCell ref="A110:B110"/>
    <mergeCell ref="A104:B104"/>
    <mergeCell ref="A105:B105"/>
    <mergeCell ref="A106:B106"/>
    <mergeCell ref="A88:F88"/>
    <mergeCell ref="A91:A93"/>
    <mergeCell ref="A94:A99"/>
    <mergeCell ref="A100:A101"/>
    <mergeCell ref="A33:A35"/>
    <mergeCell ref="A36:A41"/>
    <mergeCell ref="A42:A43"/>
    <mergeCell ref="A1:F1"/>
    <mergeCell ref="A7:A12"/>
    <mergeCell ref="A13:A14"/>
    <mergeCell ref="A4:A6"/>
    <mergeCell ref="A26:B26"/>
    <mergeCell ref="A20:B20"/>
    <mergeCell ref="A21:B21"/>
    <mergeCell ref="A22:B22"/>
    <mergeCell ref="A24:B24"/>
    <mergeCell ref="A25:B25"/>
    <mergeCell ref="A112:F112"/>
    <mergeCell ref="A108:B108"/>
    <mergeCell ref="A109:B109"/>
    <mergeCell ref="G136:H136"/>
    <mergeCell ref="C136:C137"/>
    <mergeCell ref="D136:D137"/>
    <mergeCell ref="E136:F136"/>
    <mergeCell ref="A124:A125"/>
  </mergeCells>
  <pageMargins left="0.7" right="0.7" top="0.75" bottom="0.75" header="0.3" footer="0.3"/>
  <pageSetup orientation="portrait" r:id="rId1"/>
  <ignoredErrors>
    <ignoredError sqref="D1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063A-D12D-4D1A-BF0A-6F1E416476C4}">
  <dimension ref="A1:AU88"/>
  <sheetViews>
    <sheetView workbookViewId="0">
      <selection sqref="A1:B1"/>
    </sheetView>
  </sheetViews>
  <sheetFormatPr baseColWidth="10" defaultColWidth="0" defaultRowHeight="14.45" customHeight="1" zeroHeight="1" x14ac:dyDescent="0.25"/>
  <cols>
    <col min="1" max="1" width="19" bestFit="1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55" t="s">
        <v>206</v>
      </c>
      <c r="B1" s="255"/>
      <c r="C1" s="182"/>
      <c r="D1" s="183"/>
      <c r="E1" s="182"/>
      <c r="F1" s="182"/>
      <c r="G1" s="184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1:36" ht="18.75" x14ac:dyDescent="0.3">
      <c r="A2" s="185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6" ht="15" x14ac:dyDescent="0.25">
      <c r="A3" s="256" t="s">
        <v>199</v>
      </c>
      <c r="B3" s="256"/>
      <c r="C3" s="187">
        <v>0</v>
      </c>
    </row>
    <row r="4" spans="1:36" ht="15" x14ac:dyDescent="0.25">
      <c r="A4" s="257" t="s">
        <v>207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188"/>
    </row>
    <row r="5" spans="1:36" ht="15" x14ac:dyDescent="0.25">
      <c r="A5" s="99"/>
      <c r="E5" s="189">
        <v>0</v>
      </c>
      <c r="F5" s="189">
        <v>1</v>
      </c>
      <c r="G5" s="189">
        <v>2</v>
      </c>
      <c r="H5" s="189">
        <v>3</v>
      </c>
      <c r="I5" s="189">
        <v>4</v>
      </c>
      <c r="J5" s="189">
        <v>5</v>
      </c>
      <c r="K5" s="189">
        <v>6</v>
      </c>
      <c r="L5" s="189">
        <v>7</v>
      </c>
      <c r="M5" s="189">
        <v>8</v>
      </c>
      <c r="N5" s="189">
        <v>9</v>
      </c>
      <c r="O5" s="189">
        <v>10</v>
      </c>
      <c r="P5" s="189">
        <v>11</v>
      </c>
      <c r="Q5" s="189">
        <v>12</v>
      </c>
      <c r="R5" s="189">
        <v>13</v>
      </c>
      <c r="S5" s="189">
        <v>14</v>
      </c>
      <c r="T5" s="189">
        <v>15</v>
      </c>
      <c r="U5" s="189">
        <v>16</v>
      </c>
      <c r="V5" s="189">
        <v>17</v>
      </c>
      <c r="W5" s="189">
        <v>18</v>
      </c>
      <c r="X5" s="189">
        <v>19</v>
      </c>
      <c r="Y5" s="189">
        <v>20</v>
      </c>
      <c r="Z5" s="189">
        <v>21</v>
      </c>
      <c r="AA5" s="189">
        <v>22</v>
      </c>
      <c r="AB5" s="189">
        <v>23</v>
      </c>
      <c r="AC5" s="189">
        <v>24</v>
      </c>
      <c r="AD5" s="189">
        <v>25</v>
      </c>
      <c r="AE5" s="189">
        <v>26</v>
      </c>
      <c r="AF5" s="189">
        <v>27</v>
      </c>
      <c r="AG5" s="189">
        <v>28</v>
      </c>
      <c r="AJ5" s="190"/>
    </row>
    <row r="6" spans="1:36" ht="15" x14ac:dyDescent="0.25">
      <c r="A6" s="252" t="s">
        <v>200</v>
      </c>
      <c r="B6" s="252"/>
      <c r="C6" s="188" t="s">
        <v>1</v>
      </c>
      <c r="E6" s="191">
        <v>2022</v>
      </c>
      <c r="F6" s="191">
        <f>+E6+1</f>
        <v>2023</v>
      </c>
      <c r="G6" s="192">
        <f t="shared" ref="G6:AG6" si="0">+F6+1</f>
        <v>2024</v>
      </c>
      <c r="H6" s="192">
        <f t="shared" si="0"/>
        <v>2025</v>
      </c>
      <c r="I6" s="192">
        <f t="shared" si="0"/>
        <v>2026</v>
      </c>
      <c r="J6" s="192">
        <f t="shared" si="0"/>
        <v>2027</v>
      </c>
      <c r="K6" s="192">
        <f t="shared" si="0"/>
        <v>2028</v>
      </c>
      <c r="L6" s="192">
        <f t="shared" si="0"/>
        <v>2029</v>
      </c>
      <c r="M6" s="192">
        <f t="shared" si="0"/>
        <v>2030</v>
      </c>
      <c r="N6" s="192">
        <f t="shared" si="0"/>
        <v>2031</v>
      </c>
      <c r="O6" s="192">
        <f t="shared" si="0"/>
        <v>2032</v>
      </c>
      <c r="P6" s="192">
        <f t="shared" si="0"/>
        <v>2033</v>
      </c>
      <c r="Q6" s="192">
        <f t="shared" si="0"/>
        <v>2034</v>
      </c>
      <c r="R6" s="192">
        <f t="shared" si="0"/>
        <v>2035</v>
      </c>
      <c r="S6" s="192">
        <f t="shared" si="0"/>
        <v>2036</v>
      </c>
      <c r="T6" s="192">
        <f t="shared" si="0"/>
        <v>2037</v>
      </c>
      <c r="U6" s="192">
        <f t="shared" si="0"/>
        <v>2038</v>
      </c>
      <c r="V6" s="192">
        <f t="shared" si="0"/>
        <v>2039</v>
      </c>
      <c r="W6" s="192">
        <f t="shared" si="0"/>
        <v>2040</v>
      </c>
      <c r="X6" s="192">
        <f t="shared" si="0"/>
        <v>2041</v>
      </c>
      <c r="Y6" s="192">
        <f t="shared" si="0"/>
        <v>2042</v>
      </c>
      <c r="Z6" s="192">
        <f t="shared" si="0"/>
        <v>2043</v>
      </c>
      <c r="AA6" s="192">
        <f t="shared" si="0"/>
        <v>2044</v>
      </c>
      <c r="AB6" s="192">
        <f t="shared" si="0"/>
        <v>2045</v>
      </c>
      <c r="AC6" s="192">
        <f t="shared" si="0"/>
        <v>2046</v>
      </c>
      <c r="AD6" s="192">
        <f t="shared" si="0"/>
        <v>2047</v>
      </c>
      <c r="AE6" s="192">
        <f t="shared" si="0"/>
        <v>2048</v>
      </c>
      <c r="AF6" s="192">
        <f t="shared" si="0"/>
        <v>2049</v>
      </c>
      <c r="AG6" s="192">
        <f t="shared" si="0"/>
        <v>2050</v>
      </c>
      <c r="AI6" s="192" t="s">
        <v>201</v>
      </c>
      <c r="AJ6" s="190"/>
    </row>
    <row r="7" spans="1:36" ht="15" x14ac:dyDescent="0.25">
      <c r="A7" s="249" t="s">
        <v>17</v>
      </c>
      <c r="B7" s="30" t="s">
        <v>31</v>
      </c>
      <c r="C7" s="193"/>
      <c r="E7" s="194">
        <f>CTP!C4</f>
        <v>12500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5">
        <v>0</v>
      </c>
      <c r="AA7" s="195">
        <v>0</v>
      </c>
      <c r="AB7" s="195">
        <v>0</v>
      </c>
      <c r="AC7" s="195">
        <v>0</v>
      </c>
      <c r="AD7" s="195">
        <v>0</v>
      </c>
      <c r="AE7" s="195">
        <v>0</v>
      </c>
      <c r="AF7" s="195">
        <v>0</v>
      </c>
      <c r="AG7" s="196">
        <v>0</v>
      </c>
      <c r="AH7" s="235"/>
      <c r="AI7" s="197">
        <f>+SUM(E7:AG7)</f>
        <v>12500</v>
      </c>
      <c r="AJ7" s="190"/>
    </row>
    <row r="8" spans="1:36" ht="15" x14ac:dyDescent="0.25">
      <c r="A8" s="251"/>
      <c r="B8" s="33" t="s">
        <v>64</v>
      </c>
      <c r="C8" s="193"/>
      <c r="E8" s="202">
        <f>CTP!C5</f>
        <v>0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  <c r="T8" s="203">
        <v>0</v>
      </c>
      <c r="U8" s="203">
        <v>0</v>
      </c>
      <c r="V8" s="203">
        <v>0</v>
      </c>
      <c r="W8" s="203">
        <v>0</v>
      </c>
      <c r="X8" s="203">
        <v>0</v>
      </c>
      <c r="Y8" s="203">
        <v>0</v>
      </c>
      <c r="Z8" s="203">
        <v>0</v>
      </c>
      <c r="AA8" s="203">
        <v>0</v>
      </c>
      <c r="AB8" s="203">
        <v>0</v>
      </c>
      <c r="AC8" s="203">
        <v>0</v>
      </c>
      <c r="AD8" s="203">
        <v>0</v>
      </c>
      <c r="AE8" s="203">
        <v>0</v>
      </c>
      <c r="AF8" s="203">
        <v>0</v>
      </c>
      <c r="AG8" s="204">
        <v>0</v>
      </c>
      <c r="AH8" s="235"/>
      <c r="AI8" s="205">
        <f t="shared" ref="AI8:AI16" si="1">+SUM(E8:AG8)</f>
        <v>0</v>
      </c>
      <c r="AJ8" s="190"/>
    </row>
    <row r="9" spans="1:36" ht="15" x14ac:dyDescent="0.25">
      <c r="A9" s="250"/>
      <c r="B9" s="31" t="s">
        <v>124</v>
      </c>
      <c r="C9" s="193"/>
      <c r="E9" s="202">
        <f>CTP!C6</f>
        <v>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3">
        <v>0</v>
      </c>
      <c r="T9" s="203">
        <v>0</v>
      </c>
      <c r="U9" s="203">
        <v>0</v>
      </c>
      <c r="V9" s="203">
        <v>0</v>
      </c>
      <c r="W9" s="203">
        <v>0</v>
      </c>
      <c r="X9" s="203">
        <v>0</v>
      </c>
      <c r="Y9" s="203">
        <v>0</v>
      </c>
      <c r="Z9" s="203">
        <v>0</v>
      </c>
      <c r="AA9" s="203">
        <v>0</v>
      </c>
      <c r="AB9" s="203">
        <v>0</v>
      </c>
      <c r="AC9" s="203">
        <v>0</v>
      </c>
      <c r="AD9" s="203">
        <v>0</v>
      </c>
      <c r="AE9" s="203">
        <v>0</v>
      </c>
      <c r="AF9" s="203">
        <v>0</v>
      </c>
      <c r="AG9" s="204">
        <v>0</v>
      </c>
      <c r="AH9" s="235"/>
      <c r="AI9" s="205">
        <f t="shared" si="1"/>
        <v>0</v>
      </c>
      <c r="AJ9" s="190"/>
    </row>
    <row r="10" spans="1:36" ht="15" x14ac:dyDescent="0.25">
      <c r="A10" s="249" t="s">
        <v>18</v>
      </c>
      <c r="B10" s="30" t="s">
        <v>92</v>
      </c>
      <c r="C10" s="193"/>
      <c r="E10" s="198">
        <f>CTP!C7</f>
        <v>625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  <c r="AE10" s="199">
        <v>0</v>
      </c>
      <c r="AF10" s="199">
        <v>0</v>
      </c>
      <c r="AG10" s="200">
        <v>0</v>
      </c>
      <c r="AH10" s="235"/>
      <c r="AI10" s="201">
        <f t="shared" si="1"/>
        <v>625</v>
      </c>
      <c r="AJ10" s="190"/>
    </row>
    <row r="11" spans="1:36" ht="15" x14ac:dyDescent="0.25">
      <c r="A11" s="251"/>
      <c r="B11" s="33" t="s">
        <v>37</v>
      </c>
      <c r="C11" s="193"/>
      <c r="E11" s="194">
        <f>CTP!C8</f>
        <v>2875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f>[1]CTP!$C$7</f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5">
        <v>0</v>
      </c>
      <c r="AE11" s="195">
        <v>0</v>
      </c>
      <c r="AF11" s="195">
        <v>0</v>
      </c>
      <c r="AG11" s="196">
        <v>0</v>
      </c>
      <c r="AH11" s="235"/>
      <c r="AI11" s="197">
        <f t="shared" si="1"/>
        <v>2875</v>
      </c>
      <c r="AJ11" s="190"/>
    </row>
    <row r="12" spans="1:36" ht="15" x14ac:dyDescent="0.25">
      <c r="A12" s="251"/>
      <c r="B12" s="33" t="s">
        <v>93</v>
      </c>
      <c r="C12" s="193"/>
      <c r="E12" s="202">
        <f>CTP!C9</f>
        <v>2750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3">
        <v>0</v>
      </c>
      <c r="S12" s="203">
        <v>0</v>
      </c>
      <c r="T12" s="203">
        <v>0</v>
      </c>
      <c r="U12" s="203">
        <v>0</v>
      </c>
      <c r="V12" s="203">
        <v>0</v>
      </c>
      <c r="W12" s="203">
        <v>0</v>
      </c>
      <c r="X12" s="203">
        <v>0</v>
      </c>
      <c r="Y12" s="203">
        <v>0</v>
      </c>
      <c r="Z12" s="203">
        <v>0</v>
      </c>
      <c r="AA12" s="203">
        <v>0</v>
      </c>
      <c r="AB12" s="203">
        <v>0</v>
      </c>
      <c r="AC12" s="203">
        <v>0</v>
      </c>
      <c r="AD12" s="203">
        <v>0</v>
      </c>
      <c r="AE12" s="203">
        <v>0</v>
      </c>
      <c r="AF12" s="203">
        <v>0</v>
      </c>
      <c r="AG12" s="204">
        <v>0</v>
      </c>
      <c r="AH12" s="235"/>
      <c r="AI12" s="205">
        <f t="shared" si="1"/>
        <v>2750</v>
      </c>
      <c r="AJ12" s="190"/>
    </row>
    <row r="13" spans="1:36" ht="15" x14ac:dyDescent="0.25">
      <c r="A13" s="251"/>
      <c r="B13" s="125" t="s">
        <v>36</v>
      </c>
      <c r="C13" s="193"/>
      <c r="E13" s="202">
        <f>CTP!C10</f>
        <v>3775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0</v>
      </c>
      <c r="S13" s="203">
        <v>0</v>
      </c>
      <c r="T13" s="203">
        <v>0</v>
      </c>
      <c r="U13" s="203">
        <v>0</v>
      </c>
      <c r="V13" s="203">
        <v>0</v>
      </c>
      <c r="W13" s="203">
        <v>0</v>
      </c>
      <c r="X13" s="203">
        <v>0</v>
      </c>
      <c r="Y13" s="203">
        <v>0</v>
      </c>
      <c r="Z13" s="203">
        <v>0</v>
      </c>
      <c r="AA13" s="203">
        <v>0</v>
      </c>
      <c r="AB13" s="203">
        <v>0</v>
      </c>
      <c r="AC13" s="203">
        <v>0</v>
      </c>
      <c r="AD13" s="203">
        <v>0</v>
      </c>
      <c r="AE13" s="203">
        <v>0</v>
      </c>
      <c r="AF13" s="203">
        <v>0</v>
      </c>
      <c r="AG13" s="204">
        <v>0</v>
      </c>
      <c r="AH13" s="235"/>
      <c r="AI13" s="205">
        <f t="shared" si="1"/>
        <v>3775</v>
      </c>
      <c r="AJ13" s="190"/>
    </row>
    <row r="14" spans="1:36" ht="15" x14ac:dyDescent="0.25">
      <c r="A14" s="251"/>
      <c r="B14" s="125" t="s">
        <v>144</v>
      </c>
      <c r="C14" s="193"/>
      <c r="E14" s="202">
        <f>Parametros!$C$120*CTP!$C$4</f>
        <v>625</v>
      </c>
      <c r="F14" s="203">
        <f>Parametros!$C$121*CTP!$C$4</f>
        <v>562.5</v>
      </c>
      <c r="G14" s="203">
        <f>Parametros!$C$121*CTP!$C$4</f>
        <v>562.5</v>
      </c>
      <c r="H14" s="203">
        <f>Parametros!$C$121*CTP!$C$4</f>
        <v>562.5</v>
      </c>
      <c r="I14" s="203">
        <f>Parametros!$C$121*CTP!$C$4</f>
        <v>562.5</v>
      </c>
      <c r="J14" s="203">
        <f>Parametros!$C$121*CTP!$C$4</f>
        <v>562.5</v>
      </c>
      <c r="K14" s="203">
        <f>Parametros!$C$121*CTP!$C$4</f>
        <v>562.5</v>
      </c>
      <c r="L14" s="203">
        <f>Parametros!$C$121*CTP!$C$4</f>
        <v>562.5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>
        <v>0</v>
      </c>
      <c r="V14" s="203">
        <v>0</v>
      </c>
      <c r="W14" s="203">
        <v>0</v>
      </c>
      <c r="X14" s="203">
        <v>0</v>
      </c>
      <c r="Y14" s="203">
        <v>0</v>
      </c>
      <c r="Z14" s="203">
        <v>0</v>
      </c>
      <c r="AA14" s="203">
        <v>0</v>
      </c>
      <c r="AB14" s="203">
        <v>0</v>
      </c>
      <c r="AC14" s="203">
        <v>0</v>
      </c>
      <c r="AD14" s="203">
        <v>0</v>
      </c>
      <c r="AE14" s="203">
        <v>0</v>
      </c>
      <c r="AF14" s="203">
        <v>0</v>
      </c>
      <c r="AG14" s="204">
        <v>0</v>
      </c>
      <c r="AH14" s="235"/>
      <c r="AI14" s="205">
        <f t="shared" si="1"/>
        <v>4562.5</v>
      </c>
      <c r="AJ14" s="190"/>
    </row>
    <row r="15" spans="1:36" ht="15" x14ac:dyDescent="0.25">
      <c r="A15" s="250"/>
      <c r="B15" s="31" t="s">
        <v>125</v>
      </c>
      <c r="C15" s="193"/>
      <c r="E15" s="206">
        <f>-IPMT(Parametros!$C$54,1,Parametros!$C$53,(SUM(CTP!$C$4,CTP!$C$7:$C$10))*Parametros!$C$52)</f>
        <v>1024.8874999999998</v>
      </c>
      <c r="F15" s="207">
        <f>-IPMT(Parametros!$C$54,2,Parametros!$C$53,(SUM(CTP!$C$4,CTP!$C$7:$C$10))*Parametros!$C$52)</f>
        <v>844.8818578480558</v>
      </c>
      <c r="G15" s="207">
        <f>-IPMT(Parametros!$C$54,3,Parametros!$C$53,(SUM(CTP!$C$4,CTP!$C$7:$C$10))*Parametros!$C$52)</f>
        <v>653.17584895623543</v>
      </c>
      <c r="H15" s="207">
        <f>-IPMT(Parametros!$C$54,4,Parametros!$C$53,(SUM(CTP!$C$4,CTP!$C$7:$C$10))*Parametros!$C$52)</f>
        <v>449.00894948644651</v>
      </c>
      <c r="I15" s="207">
        <f>-IPMT(Parametros!$C$54,5,Parametros!$C$53,(SUM(CTP!$C$4,CTP!$C$7:$C$10))*Parametros!$C$52)</f>
        <v>231.57120155112128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  <c r="AG15" s="200">
        <v>0</v>
      </c>
      <c r="AH15" s="235"/>
      <c r="AI15" s="201">
        <f t="shared" si="1"/>
        <v>3203.5253578418587</v>
      </c>
      <c r="AJ15" s="190"/>
    </row>
    <row r="16" spans="1:36" ht="15" x14ac:dyDescent="0.25">
      <c r="A16" s="249" t="s">
        <v>19</v>
      </c>
      <c r="B16" s="125" t="s">
        <v>53</v>
      </c>
      <c r="C16" s="193"/>
      <c r="E16" s="194">
        <f>(Parametros!$C$8+Parametros!$C$9+Parametros!$C$10)*Parametros!$C$41</f>
        <v>1200</v>
      </c>
      <c r="F16" s="195">
        <f>(Parametros!$C$8+Parametros!$C$9+Parametros!$C$10)*Parametros!$C$41</f>
        <v>1200</v>
      </c>
      <c r="G16" s="195">
        <f>(Parametros!$C$8+Parametros!$C$9+Parametros!$C$10)*Parametros!$C$41</f>
        <v>1200</v>
      </c>
      <c r="H16" s="195">
        <f>(Parametros!$C$8+Parametros!$C$9+Parametros!$C$10)*Parametros!$C$41</f>
        <v>1200</v>
      </c>
      <c r="I16" s="195">
        <f>(Parametros!$C$8+Parametros!$C$9+Parametros!$C$10)*Parametros!$C$41</f>
        <v>1200</v>
      </c>
      <c r="J16" s="195">
        <f>(Parametros!$C$8+Parametros!$C$9+Parametros!$C$10)*Parametros!$C$41</f>
        <v>1200</v>
      </c>
      <c r="K16" s="195">
        <f>(Parametros!$C$8+Parametros!$C$9+Parametros!$C$10)*Parametros!$C$41</f>
        <v>1200</v>
      </c>
      <c r="L16" s="195">
        <f>(Parametros!$C$8+Parametros!$C$9+Parametros!$C$10)*Parametros!$C$41</f>
        <v>1200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195">
        <v>0</v>
      </c>
      <c r="AG16" s="196">
        <v>0</v>
      </c>
      <c r="AH16" s="235"/>
      <c r="AI16" s="197">
        <f t="shared" si="1"/>
        <v>9600</v>
      </c>
      <c r="AJ16" s="190"/>
    </row>
    <row r="17" spans="1:36" ht="15" x14ac:dyDescent="0.25">
      <c r="A17" s="250"/>
      <c r="B17" s="31" t="s">
        <v>126</v>
      </c>
      <c r="C17" s="193"/>
      <c r="E17" s="198">
        <f>Parametros!H80</f>
        <v>5166.7199999999984</v>
      </c>
      <c r="F17" s="199">
        <f>Parametros!H81</f>
        <v>5166.7199999999984</v>
      </c>
      <c r="G17" s="199">
        <f>Parametros!H82</f>
        <v>5166.7199999999984</v>
      </c>
      <c r="H17" s="199">
        <f>Parametros!H83</f>
        <v>5166.7199999999984</v>
      </c>
      <c r="I17" s="199">
        <f>Parametros!H84</f>
        <v>5166.7199999999984</v>
      </c>
      <c r="J17" s="199">
        <f>Parametros!H85</f>
        <v>5166.7199999999984</v>
      </c>
      <c r="K17" s="199">
        <f>Parametros!H86</f>
        <v>5166.7199999999984</v>
      </c>
      <c r="L17" s="199">
        <f>Parametros!H87</f>
        <v>5166.7199999999984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  <c r="AG17" s="200">
        <v>0</v>
      </c>
      <c r="AH17" s="235"/>
      <c r="AI17" s="201">
        <f>+SUM(E17:AG17)</f>
        <v>41333.759999999987</v>
      </c>
      <c r="AJ17" s="190"/>
    </row>
    <row r="18" spans="1:36" ht="15" x14ac:dyDescent="0.25">
      <c r="A18" s="72" t="s">
        <v>145</v>
      </c>
      <c r="B18" s="73" t="s">
        <v>128</v>
      </c>
      <c r="C18" s="193"/>
      <c r="E18" s="208">
        <f>Parametros!$C$134*Parametros!$C$41/(10^6)*Parametros!$C$136</f>
        <v>308.39999999999998</v>
      </c>
      <c r="F18" s="209">
        <f>Parametros!$C$134*Parametros!$C$41/(10^6)*Parametros!$C$136</f>
        <v>308.39999999999998</v>
      </c>
      <c r="G18" s="209">
        <f>Parametros!$C$134*Parametros!$C$41/(10^6)*Parametros!$C$136</f>
        <v>308.39999999999998</v>
      </c>
      <c r="H18" s="209">
        <f>Parametros!$C$134*Parametros!$C$41/(10^6)*Parametros!$C$136</f>
        <v>308.39999999999998</v>
      </c>
      <c r="I18" s="209">
        <f>Parametros!$C$134*Parametros!$C$41/(10^6)*Parametros!$C$136</f>
        <v>308.39999999999998</v>
      </c>
      <c r="J18" s="209">
        <f>Parametros!$C$134*Parametros!$C$41/(10^6)*Parametros!$C$136</f>
        <v>308.39999999999998</v>
      </c>
      <c r="K18" s="209">
        <f>Parametros!$C$134*Parametros!$C$41/(10^6)*Parametros!$C$136</f>
        <v>308.39999999999998</v>
      </c>
      <c r="L18" s="209">
        <f>Parametros!$C$134*Parametros!$C$41/(10^6)*Parametros!$C$136</f>
        <v>308.39999999999998</v>
      </c>
      <c r="M18" s="210">
        <v>0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0</v>
      </c>
      <c r="AE18" s="210">
        <v>0</v>
      </c>
      <c r="AF18" s="210">
        <v>0</v>
      </c>
      <c r="AG18" s="211">
        <v>0</v>
      </c>
      <c r="AH18" s="235"/>
      <c r="AI18" s="203">
        <f>+SUM(E18:AG18)</f>
        <v>2467.2000000000003</v>
      </c>
      <c r="AJ18" s="190"/>
    </row>
    <row r="19" spans="1:36" ht="15" x14ac:dyDescent="0.25">
      <c r="B19" s="188" t="s">
        <v>201</v>
      </c>
      <c r="C19" s="193"/>
      <c r="E19" s="212">
        <f t="shared" ref="E19:AG19" si="2">SUM(E7:E18)</f>
        <v>30850.0075</v>
      </c>
      <c r="F19" s="212">
        <f t="shared" si="2"/>
        <v>8082.501857848054</v>
      </c>
      <c r="G19" s="212">
        <f t="shared" si="2"/>
        <v>7890.7958489562334</v>
      </c>
      <c r="H19" s="212">
        <f t="shared" si="2"/>
        <v>7686.628949486445</v>
      </c>
      <c r="I19" s="212">
        <f t="shared" si="2"/>
        <v>7469.1912015511189</v>
      </c>
      <c r="J19" s="212">
        <f t="shared" si="2"/>
        <v>7237.6199999999981</v>
      </c>
      <c r="K19" s="212">
        <f t="shared" si="2"/>
        <v>7237.6199999999981</v>
      </c>
      <c r="L19" s="212">
        <f t="shared" si="2"/>
        <v>7237.6199999999981</v>
      </c>
      <c r="M19" s="212">
        <f t="shared" si="2"/>
        <v>0</v>
      </c>
      <c r="N19" s="212">
        <f t="shared" si="2"/>
        <v>0</v>
      </c>
      <c r="O19" s="212">
        <f t="shared" si="2"/>
        <v>0</v>
      </c>
      <c r="P19" s="212">
        <f t="shared" si="2"/>
        <v>0</v>
      </c>
      <c r="Q19" s="212">
        <f t="shared" si="2"/>
        <v>0</v>
      </c>
      <c r="R19" s="212">
        <f t="shared" si="2"/>
        <v>0</v>
      </c>
      <c r="S19" s="212">
        <f t="shared" si="2"/>
        <v>0</v>
      </c>
      <c r="T19" s="212">
        <f t="shared" si="2"/>
        <v>0</v>
      </c>
      <c r="U19" s="212">
        <f t="shared" si="2"/>
        <v>0</v>
      </c>
      <c r="V19" s="212">
        <f t="shared" si="2"/>
        <v>0</v>
      </c>
      <c r="W19" s="212">
        <f t="shared" si="2"/>
        <v>0</v>
      </c>
      <c r="X19" s="212">
        <f t="shared" si="2"/>
        <v>0</v>
      </c>
      <c r="Y19" s="212">
        <f t="shared" si="2"/>
        <v>0</v>
      </c>
      <c r="Z19" s="212">
        <f t="shared" si="2"/>
        <v>0</v>
      </c>
      <c r="AA19" s="212">
        <f t="shared" si="2"/>
        <v>0</v>
      </c>
      <c r="AB19" s="212">
        <f t="shared" si="2"/>
        <v>0</v>
      </c>
      <c r="AC19" s="212">
        <f t="shared" si="2"/>
        <v>0</v>
      </c>
      <c r="AD19" s="212">
        <f t="shared" si="2"/>
        <v>0</v>
      </c>
      <c r="AE19" s="212">
        <f t="shared" si="2"/>
        <v>0</v>
      </c>
      <c r="AF19" s="212">
        <f t="shared" si="2"/>
        <v>0</v>
      </c>
      <c r="AG19" s="212">
        <f t="shared" si="2"/>
        <v>0</v>
      </c>
      <c r="AH19" s="190"/>
      <c r="AI19" s="213">
        <f>+SUM(E19:AG19)</f>
        <v>83691.985357841841</v>
      </c>
      <c r="AJ19" s="190"/>
    </row>
    <row r="20" spans="1:36" ht="15" x14ac:dyDescent="0.25">
      <c r="A20" s="190"/>
      <c r="C20" s="214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</row>
    <row r="21" spans="1:36" ht="15" x14ac:dyDescent="0.25">
      <c r="C21" s="193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190"/>
      <c r="AI21" s="190"/>
      <c r="AJ21" s="190"/>
    </row>
    <row r="22" spans="1:36" ht="15" x14ac:dyDescent="0.25">
      <c r="A22" s="188" t="s">
        <v>204</v>
      </c>
      <c r="E22" s="216">
        <f t="shared" ref="E22:AG22" si="3">1/(1+$C$3)^E5</f>
        <v>1</v>
      </c>
      <c r="F22" s="216">
        <f t="shared" si="3"/>
        <v>1</v>
      </c>
      <c r="G22" s="216">
        <f t="shared" si="3"/>
        <v>1</v>
      </c>
      <c r="H22" s="216">
        <f t="shared" si="3"/>
        <v>1</v>
      </c>
      <c r="I22" s="216">
        <f t="shared" si="3"/>
        <v>1</v>
      </c>
      <c r="J22" s="216">
        <f t="shared" si="3"/>
        <v>1</v>
      </c>
      <c r="K22" s="216">
        <f t="shared" si="3"/>
        <v>1</v>
      </c>
      <c r="L22" s="216">
        <f t="shared" si="3"/>
        <v>1</v>
      </c>
      <c r="M22" s="216">
        <f t="shared" si="3"/>
        <v>1</v>
      </c>
      <c r="N22" s="216">
        <f t="shared" si="3"/>
        <v>1</v>
      </c>
      <c r="O22" s="216">
        <f t="shared" si="3"/>
        <v>1</v>
      </c>
      <c r="P22" s="216">
        <f t="shared" si="3"/>
        <v>1</v>
      </c>
      <c r="Q22" s="216">
        <f t="shared" si="3"/>
        <v>1</v>
      </c>
      <c r="R22" s="216">
        <f t="shared" si="3"/>
        <v>1</v>
      </c>
      <c r="S22" s="216">
        <f t="shared" si="3"/>
        <v>1</v>
      </c>
      <c r="T22" s="216">
        <f t="shared" si="3"/>
        <v>1</v>
      </c>
      <c r="U22" s="216">
        <f t="shared" si="3"/>
        <v>1</v>
      </c>
      <c r="V22" s="216">
        <f t="shared" si="3"/>
        <v>1</v>
      </c>
      <c r="W22" s="216">
        <f t="shared" si="3"/>
        <v>1</v>
      </c>
      <c r="X22" s="216">
        <f t="shared" si="3"/>
        <v>1</v>
      </c>
      <c r="Y22" s="216">
        <f t="shared" si="3"/>
        <v>1</v>
      </c>
      <c r="Z22" s="216">
        <f t="shared" si="3"/>
        <v>1</v>
      </c>
      <c r="AA22" s="216">
        <f t="shared" si="3"/>
        <v>1</v>
      </c>
      <c r="AB22" s="216">
        <f t="shared" si="3"/>
        <v>1</v>
      </c>
      <c r="AC22" s="216">
        <f t="shared" si="3"/>
        <v>1</v>
      </c>
      <c r="AD22" s="216">
        <f t="shared" si="3"/>
        <v>1</v>
      </c>
      <c r="AE22" s="216">
        <f t="shared" si="3"/>
        <v>1</v>
      </c>
      <c r="AF22" s="216">
        <f t="shared" si="3"/>
        <v>1</v>
      </c>
      <c r="AG22" s="216">
        <f t="shared" si="3"/>
        <v>1</v>
      </c>
      <c r="AH22" s="190"/>
      <c r="AI22" s="190"/>
      <c r="AJ22" s="190"/>
    </row>
    <row r="23" spans="1:36" ht="15" x14ac:dyDescent="0.25">
      <c r="C23" s="217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190"/>
      <c r="AI23" s="190"/>
      <c r="AJ23" s="190"/>
    </row>
    <row r="24" spans="1:36" ht="15" x14ac:dyDescent="0.25">
      <c r="A24" s="253" t="s">
        <v>205</v>
      </c>
      <c r="B24" s="253"/>
      <c r="C24" s="188" t="s">
        <v>1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</row>
    <row r="25" spans="1:36" ht="15" x14ac:dyDescent="0.25">
      <c r="A25" s="249" t="s">
        <v>17</v>
      </c>
      <c r="B25" s="30" t="s">
        <v>31</v>
      </c>
      <c r="C25" s="193"/>
      <c r="E25" s="218">
        <f t="shared" ref="E25:AG25" si="4">+E7*E$22</f>
        <v>12500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0</v>
      </c>
      <c r="Y25" s="219">
        <f t="shared" si="4"/>
        <v>0</v>
      </c>
      <c r="Z25" s="219">
        <f t="shared" si="4"/>
        <v>0</v>
      </c>
      <c r="AA25" s="219">
        <f t="shared" si="4"/>
        <v>0</v>
      </c>
      <c r="AB25" s="219">
        <f t="shared" si="4"/>
        <v>0</v>
      </c>
      <c r="AC25" s="219">
        <f t="shared" si="4"/>
        <v>0</v>
      </c>
      <c r="AD25" s="219">
        <f t="shared" si="4"/>
        <v>0</v>
      </c>
      <c r="AE25" s="219">
        <f t="shared" si="4"/>
        <v>0</v>
      </c>
      <c r="AF25" s="219">
        <f t="shared" si="4"/>
        <v>0</v>
      </c>
      <c r="AG25" s="220">
        <f t="shared" si="4"/>
        <v>0</v>
      </c>
      <c r="AH25" s="190"/>
      <c r="AI25" s="221">
        <f t="shared" ref="AI25:AI36" si="5">+SUM(E25:AG25)</f>
        <v>12500</v>
      </c>
      <c r="AJ25" s="190"/>
    </row>
    <row r="26" spans="1:36" ht="15" x14ac:dyDescent="0.25">
      <c r="A26" s="251"/>
      <c r="B26" s="33" t="s">
        <v>64</v>
      </c>
      <c r="C26" s="193"/>
      <c r="E26" s="222">
        <f t="shared" ref="E26:AG26" si="6">+E8*E$22</f>
        <v>0</v>
      </c>
      <c r="F26" s="223">
        <f t="shared" si="6"/>
        <v>0</v>
      </c>
      <c r="G26" s="223">
        <f t="shared" si="6"/>
        <v>0</v>
      </c>
      <c r="H26" s="223">
        <f t="shared" si="6"/>
        <v>0</v>
      </c>
      <c r="I26" s="223">
        <f t="shared" si="6"/>
        <v>0</v>
      </c>
      <c r="J26" s="223">
        <f t="shared" si="6"/>
        <v>0</v>
      </c>
      <c r="K26" s="223">
        <f t="shared" si="6"/>
        <v>0</v>
      </c>
      <c r="L26" s="223">
        <f t="shared" si="6"/>
        <v>0</v>
      </c>
      <c r="M26" s="223">
        <f t="shared" si="6"/>
        <v>0</v>
      </c>
      <c r="N26" s="223">
        <f t="shared" si="6"/>
        <v>0</v>
      </c>
      <c r="O26" s="223">
        <f t="shared" si="6"/>
        <v>0</v>
      </c>
      <c r="P26" s="223">
        <f t="shared" si="6"/>
        <v>0</v>
      </c>
      <c r="Q26" s="223">
        <f t="shared" si="6"/>
        <v>0</v>
      </c>
      <c r="R26" s="223">
        <f t="shared" si="6"/>
        <v>0</v>
      </c>
      <c r="S26" s="223">
        <f t="shared" si="6"/>
        <v>0</v>
      </c>
      <c r="T26" s="223">
        <f t="shared" si="6"/>
        <v>0</v>
      </c>
      <c r="U26" s="223">
        <f t="shared" si="6"/>
        <v>0</v>
      </c>
      <c r="V26" s="223">
        <f t="shared" si="6"/>
        <v>0</v>
      </c>
      <c r="W26" s="223">
        <f t="shared" si="6"/>
        <v>0</v>
      </c>
      <c r="X26" s="223">
        <f t="shared" si="6"/>
        <v>0</v>
      </c>
      <c r="Y26" s="223">
        <f t="shared" si="6"/>
        <v>0</v>
      </c>
      <c r="Z26" s="223">
        <f t="shared" si="6"/>
        <v>0</v>
      </c>
      <c r="AA26" s="223">
        <f t="shared" si="6"/>
        <v>0</v>
      </c>
      <c r="AB26" s="223">
        <f t="shared" si="6"/>
        <v>0</v>
      </c>
      <c r="AC26" s="223">
        <f t="shared" si="6"/>
        <v>0</v>
      </c>
      <c r="AD26" s="223">
        <f t="shared" si="6"/>
        <v>0</v>
      </c>
      <c r="AE26" s="223">
        <f t="shared" si="6"/>
        <v>0</v>
      </c>
      <c r="AF26" s="223">
        <f t="shared" si="6"/>
        <v>0</v>
      </c>
      <c r="AG26" s="224">
        <f t="shared" si="6"/>
        <v>0</v>
      </c>
      <c r="AH26" s="190"/>
      <c r="AI26" s="225">
        <f t="shared" si="5"/>
        <v>0</v>
      </c>
      <c r="AJ26" s="190"/>
    </row>
    <row r="27" spans="1:36" ht="15" x14ac:dyDescent="0.25">
      <c r="A27" s="250"/>
      <c r="B27" s="31" t="s">
        <v>124</v>
      </c>
      <c r="C27" s="193"/>
      <c r="E27" s="218">
        <f t="shared" ref="E27:AG27" si="7">+E9*E$22</f>
        <v>0</v>
      </c>
      <c r="F27" s="219">
        <f t="shared" si="7"/>
        <v>0</v>
      </c>
      <c r="G27" s="219">
        <f t="shared" si="7"/>
        <v>0</v>
      </c>
      <c r="H27" s="219">
        <f t="shared" si="7"/>
        <v>0</v>
      </c>
      <c r="I27" s="219">
        <f t="shared" si="7"/>
        <v>0</v>
      </c>
      <c r="J27" s="219">
        <f t="shared" si="7"/>
        <v>0</v>
      </c>
      <c r="K27" s="219">
        <f t="shared" si="7"/>
        <v>0</v>
      </c>
      <c r="L27" s="219">
        <f t="shared" si="7"/>
        <v>0</v>
      </c>
      <c r="M27" s="219">
        <f t="shared" si="7"/>
        <v>0</v>
      </c>
      <c r="N27" s="219">
        <f t="shared" si="7"/>
        <v>0</v>
      </c>
      <c r="O27" s="219">
        <f t="shared" si="7"/>
        <v>0</v>
      </c>
      <c r="P27" s="219">
        <f t="shared" si="7"/>
        <v>0</v>
      </c>
      <c r="Q27" s="219">
        <f t="shared" si="7"/>
        <v>0</v>
      </c>
      <c r="R27" s="219">
        <f t="shared" si="7"/>
        <v>0</v>
      </c>
      <c r="S27" s="219">
        <f t="shared" si="7"/>
        <v>0</v>
      </c>
      <c r="T27" s="219">
        <f t="shared" si="7"/>
        <v>0</v>
      </c>
      <c r="U27" s="219">
        <f t="shared" si="7"/>
        <v>0</v>
      </c>
      <c r="V27" s="219">
        <f t="shared" si="7"/>
        <v>0</v>
      </c>
      <c r="W27" s="219">
        <f t="shared" si="7"/>
        <v>0</v>
      </c>
      <c r="X27" s="219">
        <f t="shared" si="7"/>
        <v>0</v>
      </c>
      <c r="Y27" s="219">
        <f t="shared" si="7"/>
        <v>0</v>
      </c>
      <c r="Z27" s="219">
        <f t="shared" si="7"/>
        <v>0</v>
      </c>
      <c r="AA27" s="219">
        <f t="shared" si="7"/>
        <v>0</v>
      </c>
      <c r="AB27" s="219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7"/>
        <v>0</v>
      </c>
      <c r="AF27" s="219">
        <f t="shared" si="7"/>
        <v>0</v>
      </c>
      <c r="AG27" s="220">
        <f t="shared" si="7"/>
        <v>0</v>
      </c>
      <c r="AH27" s="190"/>
      <c r="AI27" s="225">
        <f t="shared" si="5"/>
        <v>0</v>
      </c>
      <c r="AJ27" s="190"/>
    </row>
    <row r="28" spans="1:36" ht="15" x14ac:dyDescent="0.25">
      <c r="A28" s="249" t="s">
        <v>18</v>
      </c>
      <c r="B28" s="30" t="s">
        <v>92</v>
      </c>
      <c r="C28" s="193"/>
      <c r="E28" s="226">
        <f t="shared" ref="E28:AG28" si="8">+E10*E$22</f>
        <v>625</v>
      </c>
      <c r="F28" s="227">
        <f t="shared" si="8"/>
        <v>0</v>
      </c>
      <c r="G28" s="227">
        <f t="shared" si="8"/>
        <v>0</v>
      </c>
      <c r="H28" s="227">
        <f t="shared" si="8"/>
        <v>0</v>
      </c>
      <c r="I28" s="227">
        <f t="shared" si="8"/>
        <v>0</v>
      </c>
      <c r="J28" s="227">
        <f t="shared" si="8"/>
        <v>0</v>
      </c>
      <c r="K28" s="227">
        <f t="shared" si="8"/>
        <v>0</v>
      </c>
      <c r="L28" s="227">
        <f t="shared" si="8"/>
        <v>0</v>
      </c>
      <c r="M28" s="227">
        <f t="shared" si="8"/>
        <v>0</v>
      </c>
      <c r="N28" s="227">
        <f t="shared" si="8"/>
        <v>0</v>
      </c>
      <c r="O28" s="227">
        <f t="shared" si="8"/>
        <v>0</v>
      </c>
      <c r="P28" s="227">
        <f t="shared" si="8"/>
        <v>0</v>
      </c>
      <c r="Q28" s="227">
        <f t="shared" si="8"/>
        <v>0</v>
      </c>
      <c r="R28" s="227">
        <f t="shared" si="8"/>
        <v>0</v>
      </c>
      <c r="S28" s="227">
        <f t="shared" si="8"/>
        <v>0</v>
      </c>
      <c r="T28" s="227">
        <f t="shared" si="8"/>
        <v>0</v>
      </c>
      <c r="U28" s="227">
        <f t="shared" si="8"/>
        <v>0</v>
      </c>
      <c r="V28" s="227">
        <f t="shared" si="8"/>
        <v>0</v>
      </c>
      <c r="W28" s="227">
        <f t="shared" si="8"/>
        <v>0</v>
      </c>
      <c r="X28" s="227">
        <f t="shared" si="8"/>
        <v>0</v>
      </c>
      <c r="Y28" s="227">
        <f t="shared" si="8"/>
        <v>0</v>
      </c>
      <c r="Z28" s="227">
        <f t="shared" si="8"/>
        <v>0</v>
      </c>
      <c r="AA28" s="227">
        <f t="shared" si="8"/>
        <v>0</v>
      </c>
      <c r="AB28" s="227">
        <f t="shared" si="8"/>
        <v>0</v>
      </c>
      <c r="AC28" s="227">
        <f t="shared" si="8"/>
        <v>0</v>
      </c>
      <c r="AD28" s="227">
        <f t="shared" si="8"/>
        <v>0</v>
      </c>
      <c r="AE28" s="227">
        <f t="shared" si="8"/>
        <v>0</v>
      </c>
      <c r="AF28" s="227">
        <f t="shared" si="8"/>
        <v>0</v>
      </c>
      <c r="AG28" s="228">
        <f t="shared" si="8"/>
        <v>0</v>
      </c>
      <c r="AH28" s="190"/>
      <c r="AI28" s="225">
        <f t="shared" si="5"/>
        <v>625</v>
      </c>
      <c r="AJ28" s="190"/>
    </row>
    <row r="29" spans="1:36" ht="15" x14ac:dyDescent="0.25">
      <c r="A29" s="251"/>
      <c r="B29" s="33" t="s">
        <v>37</v>
      </c>
      <c r="C29" s="193"/>
      <c r="E29" s="226">
        <f t="shared" ref="E29:AG29" si="9">+E11*E$22</f>
        <v>2875</v>
      </c>
      <c r="F29" s="227">
        <f t="shared" si="9"/>
        <v>0</v>
      </c>
      <c r="G29" s="227">
        <f t="shared" si="9"/>
        <v>0</v>
      </c>
      <c r="H29" s="227">
        <f t="shared" si="9"/>
        <v>0</v>
      </c>
      <c r="I29" s="227">
        <f t="shared" si="9"/>
        <v>0</v>
      </c>
      <c r="J29" s="227">
        <f t="shared" si="9"/>
        <v>0</v>
      </c>
      <c r="K29" s="227">
        <f t="shared" si="9"/>
        <v>0</v>
      </c>
      <c r="L29" s="227">
        <f t="shared" si="9"/>
        <v>0</v>
      </c>
      <c r="M29" s="227">
        <f t="shared" si="9"/>
        <v>0</v>
      </c>
      <c r="N29" s="227">
        <f t="shared" si="9"/>
        <v>0</v>
      </c>
      <c r="O29" s="227">
        <f t="shared" si="9"/>
        <v>0</v>
      </c>
      <c r="P29" s="227">
        <f t="shared" si="9"/>
        <v>0</v>
      </c>
      <c r="Q29" s="227">
        <f t="shared" si="9"/>
        <v>0</v>
      </c>
      <c r="R29" s="227">
        <f t="shared" si="9"/>
        <v>0</v>
      </c>
      <c r="S29" s="227">
        <f t="shared" si="9"/>
        <v>0</v>
      </c>
      <c r="T29" s="227">
        <f t="shared" si="9"/>
        <v>0</v>
      </c>
      <c r="U29" s="227">
        <f t="shared" si="9"/>
        <v>0</v>
      </c>
      <c r="V29" s="227">
        <f t="shared" si="9"/>
        <v>0</v>
      </c>
      <c r="W29" s="227">
        <f t="shared" si="9"/>
        <v>0</v>
      </c>
      <c r="X29" s="227">
        <f t="shared" si="9"/>
        <v>0</v>
      </c>
      <c r="Y29" s="227">
        <f t="shared" si="9"/>
        <v>0</v>
      </c>
      <c r="Z29" s="227">
        <f t="shared" si="9"/>
        <v>0</v>
      </c>
      <c r="AA29" s="227">
        <f t="shared" si="9"/>
        <v>0</v>
      </c>
      <c r="AB29" s="227">
        <f t="shared" si="9"/>
        <v>0</v>
      </c>
      <c r="AC29" s="227">
        <f t="shared" si="9"/>
        <v>0</v>
      </c>
      <c r="AD29" s="227">
        <f t="shared" si="9"/>
        <v>0</v>
      </c>
      <c r="AE29" s="227">
        <f t="shared" si="9"/>
        <v>0</v>
      </c>
      <c r="AF29" s="227">
        <f t="shared" si="9"/>
        <v>0</v>
      </c>
      <c r="AG29" s="228">
        <f t="shared" si="9"/>
        <v>0</v>
      </c>
      <c r="AH29" s="190"/>
      <c r="AI29" s="229">
        <f t="shared" si="5"/>
        <v>2875</v>
      </c>
      <c r="AJ29" s="190"/>
    </row>
    <row r="30" spans="1:36" ht="15" x14ac:dyDescent="0.25">
      <c r="A30" s="251"/>
      <c r="B30" s="33" t="s">
        <v>93</v>
      </c>
      <c r="C30" s="193"/>
      <c r="E30" s="226">
        <f t="shared" ref="E30:AG30" si="10">+E12*E$22</f>
        <v>2750</v>
      </c>
      <c r="F30" s="227">
        <f t="shared" si="10"/>
        <v>0</v>
      </c>
      <c r="G30" s="227">
        <f t="shared" si="10"/>
        <v>0</v>
      </c>
      <c r="H30" s="227">
        <f t="shared" si="10"/>
        <v>0</v>
      </c>
      <c r="I30" s="227">
        <f t="shared" si="10"/>
        <v>0</v>
      </c>
      <c r="J30" s="227">
        <f t="shared" si="10"/>
        <v>0</v>
      </c>
      <c r="K30" s="227">
        <f t="shared" si="10"/>
        <v>0</v>
      </c>
      <c r="L30" s="227">
        <f t="shared" si="10"/>
        <v>0</v>
      </c>
      <c r="M30" s="227">
        <f t="shared" si="10"/>
        <v>0</v>
      </c>
      <c r="N30" s="227">
        <f t="shared" si="10"/>
        <v>0</v>
      </c>
      <c r="O30" s="227">
        <f t="shared" si="10"/>
        <v>0</v>
      </c>
      <c r="P30" s="227">
        <f t="shared" si="10"/>
        <v>0</v>
      </c>
      <c r="Q30" s="227">
        <f t="shared" si="10"/>
        <v>0</v>
      </c>
      <c r="R30" s="227">
        <f t="shared" si="10"/>
        <v>0</v>
      </c>
      <c r="S30" s="227">
        <f t="shared" si="10"/>
        <v>0</v>
      </c>
      <c r="T30" s="227">
        <f t="shared" si="10"/>
        <v>0</v>
      </c>
      <c r="U30" s="227">
        <f t="shared" si="10"/>
        <v>0</v>
      </c>
      <c r="V30" s="227">
        <f t="shared" si="10"/>
        <v>0</v>
      </c>
      <c r="W30" s="227">
        <f t="shared" si="10"/>
        <v>0</v>
      </c>
      <c r="X30" s="227">
        <f t="shared" si="10"/>
        <v>0</v>
      </c>
      <c r="Y30" s="227">
        <f t="shared" si="10"/>
        <v>0</v>
      </c>
      <c r="Z30" s="227">
        <f t="shared" si="10"/>
        <v>0</v>
      </c>
      <c r="AA30" s="227">
        <f t="shared" si="10"/>
        <v>0</v>
      </c>
      <c r="AB30" s="227">
        <f t="shared" si="10"/>
        <v>0</v>
      </c>
      <c r="AC30" s="227">
        <f t="shared" si="10"/>
        <v>0</v>
      </c>
      <c r="AD30" s="227">
        <f t="shared" si="10"/>
        <v>0</v>
      </c>
      <c r="AE30" s="227">
        <f t="shared" si="10"/>
        <v>0</v>
      </c>
      <c r="AF30" s="227">
        <f t="shared" si="10"/>
        <v>0</v>
      </c>
      <c r="AG30" s="228">
        <f t="shared" si="10"/>
        <v>0</v>
      </c>
      <c r="AH30" s="190"/>
      <c r="AI30" s="221">
        <f t="shared" si="5"/>
        <v>2750</v>
      </c>
      <c r="AJ30" s="190"/>
    </row>
    <row r="31" spans="1:36" ht="15" x14ac:dyDescent="0.25">
      <c r="A31" s="251"/>
      <c r="B31" s="125" t="s">
        <v>36</v>
      </c>
      <c r="C31" s="193"/>
      <c r="E31" s="226">
        <f t="shared" ref="E31:AG31" si="11">+E13*E$22</f>
        <v>3775</v>
      </c>
      <c r="F31" s="227">
        <f t="shared" si="11"/>
        <v>0</v>
      </c>
      <c r="G31" s="227">
        <f t="shared" si="11"/>
        <v>0</v>
      </c>
      <c r="H31" s="227">
        <f t="shared" si="11"/>
        <v>0</v>
      </c>
      <c r="I31" s="227">
        <f t="shared" si="11"/>
        <v>0</v>
      </c>
      <c r="J31" s="227">
        <f t="shared" si="11"/>
        <v>0</v>
      </c>
      <c r="K31" s="227">
        <f t="shared" si="11"/>
        <v>0</v>
      </c>
      <c r="L31" s="227">
        <f t="shared" si="11"/>
        <v>0</v>
      </c>
      <c r="M31" s="227">
        <f t="shared" si="11"/>
        <v>0</v>
      </c>
      <c r="N31" s="227">
        <f t="shared" si="11"/>
        <v>0</v>
      </c>
      <c r="O31" s="227">
        <f t="shared" si="11"/>
        <v>0</v>
      </c>
      <c r="P31" s="227">
        <f t="shared" si="11"/>
        <v>0</v>
      </c>
      <c r="Q31" s="227">
        <f t="shared" si="11"/>
        <v>0</v>
      </c>
      <c r="R31" s="227">
        <f t="shared" si="11"/>
        <v>0</v>
      </c>
      <c r="S31" s="227">
        <f t="shared" si="11"/>
        <v>0</v>
      </c>
      <c r="T31" s="227">
        <f t="shared" si="11"/>
        <v>0</v>
      </c>
      <c r="U31" s="227">
        <f t="shared" si="11"/>
        <v>0</v>
      </c>
      <c r="V31" s="227">
        <f t="shared" si="11"/>
        <v>0</v>
      </c>
      <c r="W31" s="227">
        <f t="shared" si="11"/>
        <v>0</v>
      </c>
      <c r="X31" s="227">
        <f t="shared" si="11"/>
        <v>0</v>
      </c>
      <c r="Y31" s="227">
        <f t="shared" si="11"/>
        <v>0</v>
      </c>
      <c r="Z31" s="227">
        <f t="shared" si="11"/>
        <v>0</v>
      </c>
      <c r="AA31" s="227">
        <f t="shared" si="11"/>
        <v>0</v>
      </c>
      <c r="AB31" s="227">
        <f t="shared" si="11"/>
        <v>0</v>
      </c>
      <c r="AC31" s="227">
        <f t="shared" si="11"/>
        <v>0</v>
      </c>
      <c r="AD31" s="227">
        <f t="shared" si="11"/>
        <v>0</v>
      </c>
      <c r="AE31" s="227">
        <f t="shared" si="11"/>
        <v>0</v>
      </c>
      <c r="AF31" s="227">
        <f t="shared" si="11"/>
        <v>0</v>
      </c>
      <c r="AG31" s="228">
        <f t="shared" si="11"/>
        <v>0</v>
      </c>
      <c r="AH31" s="190"/>
      <c r="AI31" s="225">
        <f t="shared" si="5"/>
        <v>3775</v>
      </c>
      <c r="AJ31" s="190"/>
    </row>
    <row r="32" spans="1:36" ht="15" x14ac:dyDescent="0.25">
      <c r="A32" s="251"/>
      <c r="B32" s="125" t="s">
        <v>144</v>
      </c>
      <c r="C32" s="217"/>
      <c r="E32" s="226">
        <f t="shared" ref="E32:AG32" si="12">+E14*E$22</f>
        <v>625</v>
      </c>
      <c r="F32" s="227">
        <f t="shared" si="12"/>
        <v>562.5</v>
      </c>
      <c r="G32" s="227">
        <f t="shared" si="12"/>
        <v>562.5</v>
      </c>
      <c r="H32" s="227">
        <f t="shared" si="12"/>
        <v>562.5</v>
      </c>
      <c r="I32" s="227">
        <f t="shared" si="12"/>
        <v>562.5</v>
      </c>
      <c r="J32" s="227">
        <f t="shared" si="12"/>
        <v>562.5</v>
      </c>
      <c r="K32" s="227">
        <f t="shared" si="12"/>
        <v>562.5</v>
      </c>
      <c r="L32" s="227">
        <f t="shared" si="12"/>
        <v>562.5</v>
      </c>
      <c r="M32" s="227">
        <f t="shared" si="12"/>
        <v>0</v>
      </c>
      <c r="N32" s="227">
        <f t="shared" si="12"/>
        <v>0</v>
      </c>
      <c r="O32" s="227">
        <f t="shared" si="12"/>
        <v>0</v>
      </c>
      <c r="P32" s="227">
        <f t="shared" si="12"/>
        <v>0</v>
      </c>
      <c r="Q32" s="227">
        <f t="shared" si="12"/>
        <v>0</v>
      </c>
      <c r="R32" s="227">
        <f t="shared" si="12"/>
        <v>0</v>
      </c>
      <c r="S32" s="227">
        <f t="shared" si="12"/>
        <v>0</v>
      </c>
      <c r="T32" s="227">
        <f t="shared" si="12"/>
        <v>0</v>
      </c>
      <c r="U32" s="227">
        <f t="shared" si="12"/>
        <v>0</v>
      </c>
      <c r="V32" s="227">
        <f t="shared" si="12"/>
        <v>0</v>
      </c>
      <c r="W32" s="227">
        <f t="shared" si="12"/>
        <v>0</v>
      </c>
      <c r="X32" s="227">
        <f t="shared" si="12"/>
        <v>0</v>
      </c>
      <c r="Y32" s="227">
        <f t="shared" si="12"/>
        <v>0</v>
      </c>
      <c r="Z32" s="227">
        <f t="shared" si="12"/>
        <v>0</v>
      </c>
      <c r="AA32" s="227">
        <f t="shared" si="12"/>
        <v>0</v>
      </c>
      <c r="AB32" s="227">
        <f t="shared" si="12"/>
        <v>0</v>
      </c>
      <c r="AC32" s="227">
        <f t="shared" si="12"/>
        <v>0</v>
      </c>
      <c r="AD32" s="227">
        <f t="shared" si="12"/>
        <v>0</v>
      </c>
      <c r="AE32" s="227">
        <f t="shared" si="12"/>
        <v>0</v>
      </c>
      <c r="AF32" s="227">
        <f t="shared" si="12"/>
        <v>0</v>
      </c>
      <c r="AG32" s="228">
        <f t="shared" si="12"/>
        <v>0</v>
      </c>
      <c r="AH32" s="190"/>
      <c r="AI32" s="225">
        <f t="shared" si="5"/>
        <v>4562.5</v>
      </c>
      <c r="AJ32" s="190"/>
    </row>
    <row r="33" spans="1:36" ht="15" x14ac:dyDescent="0.25">
      <c r="A33" s="250"/>
      <c r="B33" s="31" t="s">
        <v>125</v>
      </c>
      <c r="C33" s="217"/>
      <c r="E33" s="222">
        <f t="shared" ref="E33:AG33" si="13">+E15*E$22</f>
        <v>1024.8874999999998</v>
      </c>
      <c r="F33" s="223">
        <f t="shared" si="13"/>
        <v>844.8818578480558</v>
      </c>
      <c r="G33" s="223">
        <f t="shared" si="13"/>
        <v>653.17584895623543</v>
      </c>
      <c r="H33" s="223">
        <f t="shared" si="13"/>
        <v>449.00894948644651</v>
      </c>
      <c r="I33" s="223">
        <f t="shared" si="13"/>
        <v>231.57120155112128</v>
      </c>
      <c r="J33" s="223">
        <f t="shared" si="13"/>
        <v>0</v>
      </c>
      <c r="K33" s="223">
        <f t="shared" si="13"/>
        <v>0</v>
      </c>
      <c r="L33" s="223">
        <f t="shared" si="13"/>
        <v>0</v>
      </c>
      <c r="M33" s="223">
        <f t="shared" si="13"/>
        <v>0</v>
      </c>
      <c r="N33" s="223">
        <f t="shared" si="13"/>
        <v>0</v>
      </c>
      <c r="O33" s="223">
        <f t="shared" si="13"/>
        <v>0</v>
      </c>
      <c r="P33" s="223">
        <f t="shared" si="13"/>
        <v>0</v>
      </c>
      <c r="Q33" s="223">
        <f t="shared" si="13"/>
        <v>0</v>
      </c>
      <c r="R33" s="223">
        <f t="shared" si="13"/>
        <v>0</v>
      </c>
      <c r="S33" s="223">
        <f t="shared" si="13"/>
        <v>0</v>
      </c>
      <c r="T33" s="223">
        <f t="shared" si="13"/>
        <v>0</v>
      </c>
      <c r="U33" s="223">
        <f t="shared" si="13"/>
        <v>0</v>
      </c>
      <c r="V33" s="223">
        <f t="shared" si="13"/>
        <v>0</v>
      </c>
      <c r="W33" s="223">
        <f t="shared" si="13"/>
        <v>0</v>
      </c>
      <c r="X33" s="223">
        <f t="shared" si="13"/>
        <v>0</v>
      </c>
      <c r="Y33" s="223">
        <f t="shared" si="13"/>
        <v>0</v>
      </c>
      <c r="Z33" s="223">
        <f t="shared" si="13"/>
        <v>0</v>
      </c>
      <c r="AA33" s="223">
        <f t="shared" si="13"/>
        <v>0</v>
      </c>
      <c r="AB33" s="223">
        <f t="shared" si="13"/>
        <v>0</v>
      </c>
      <c r="AC33" s="223">
        <f t="shared" si="13"/>
        <v>0</v>
      </c>
      <c r="AD33" s="223">
        <f t="shared" si="13"/>
        <v>0</v>
      </c>
      <c r="AE33" s="223">
        <f t="shared" si="13"/>
        <v>0</v>
      </c>
      <c r="AF33" s="223">
        <f t="shared" si="13"/>
        <v>0</v>
      </c>
      <c r="AG33" s="224">
        <f t="shared" si="13"/>
        <v>0</v>
      </c>
      <c r="AH33" s="190"/>
      <c r="AI33" s="225">
        <f t="shared" si="5"/>
        <v>3203.5253578418587</v>
      </c>
      <c r="AJ33" s="190"/>
    </row>
    <row r="34" spans="1:36" ht="15" x14ac:dyDescent="0.25">
      <c r="A34" s="249" t="s">
        <v>19</v>
      </c>
      <c r="B34" s="125" t="s">
        <v>53</v>
      </c>
      <c r="C34" s="217"/>
      <c r="E34" s="218">
        <f t="shared" ref="E34:AG34" si="14">+E16*E$22</f>
        <v>1200</v>
      </c>
      <c r="F34" s="219">
        <f t="shared" si="14"/>
        <v>1200</v>
      </c>
      <c r="G34" s="219">
        <f t="shared" si="14"/>
        <v>1200</v>
      </c>
      <c r="H34" s="219">
        <f t="shared" si="14"/>
        <v>1200</v>
      </c>
      <c r="I34" s="219">
        <f t="shared" si="14"/>
        <v>1200</v>
      </c>
      <c r="J34" s="219">
        <f t="shared" si="14"/>
        <v>1200</v>
      </c>
      <c r="K34" s="219">
        <f t="shared" si="14"/>
        <v>1200</v>
      </c>
      <c r="L34" s="219">
        <f t="shared" si="14"/>
        <v>1200</v>
      </c>
      <c r="M34" s="219">
        <f t="shared" si="14"/>
        <v>0</v>
      </c>
      <c r="N34" s="219">
        <f t="shared" si="14"/>
        <v>0</v>
      </c>
      <c r="O34" s="219">
        <f t="shared" si="14"/>
        <v>0</v>
      </c>
      <c r="P34" s="219">
        <f t="shared" si="14"/>
        <v>0</v>
      </c>
      <c r="Q34" s="219">
        <f t="shared" si="14"/>
        <v>0</v>
      </c>
      <c r="R34" s="219">
        <f t="shared" si="14"/>
        <v>0</v>
      </c>
      <c r="S34" s="219">
        <f t="shared" si="14"/>
        <v>0</v>
      </c>
      <c r="T34" s="219">
        <f t="shared" si="14"/>
        <v>0</v>
      </c>
      <c r="U34" s="219">
        <f t="shared" si="14"/>
        <v>0</v>
      </c>
      <c r="V34" s="219">
        <f t="shared" si="14"/>
        <v>0</v>
      </c>
      <c r="W34" s="219">
        <f t="shared" si="14"/>
        <v>0</v>
      </c>
      <c r="X34" s="219">
        <f t="shared" si="14"/>
        <v>0</v>
      </c>
      <c r="Y34" s="219">
        <f t="shared" si="14"/>
        <v>0</v>
      </c>
      <c r="Z34" s="219">
        <f t="shared" si="14"/>
        <v>0</v>
      </c>
      <c r="AA34" s="219">
        <f t="shared" si="14"/>
        <v>0</v>
      </c>
      <c r="AB34" s="219">
        <f t="shared" si="14"/>
        <v>0</v>
      </c>
      <c r="AC34" s="219">
        <f t="shared" si="14"/>
        <v>0</v>
      </c>
      <c r="AD34" s="219">
        <f t="shared" si="14"/>
        <v>0</v>
      </c>
      <c r="AE34" s="219">
        <f t="shared" si="14"/>
        <v>0</v>
      </c>
      <c r="AF34" s="219">
        <f t="shared" si="14"/>
        <v>0</v>
      </c>
      <c r="AG34" s="220">
        <f t="shared" si="14"/>
        <v>0</v>
      </c>
      <c r="AH34" s="190"/>
      <c r="AI34" s="229">
        <f t="shared" si="5"/>
        <v>9600</v>
      </c>
      <c r="AJ34" s="190"/>
    </row>
    <row r="35" spans="1:36" ht="15" x14ac:dyDescent="0.25">
      <c r="A35" s="250"/>
      <c r="B35" s="31" t="s">
        <v>126</v>
      </c>
      <c r="C35" s="217"/>
      <c r="E35" s="222">
        <f t="shared" ref="E35:AG35" si="15">+E17*E$22</f>
        <v>5166.7199999999984</v>
      </c>
      <c r="F35" s="223">
        <f t="shared" si="15"/>
        <v>5166.7199999999984</v>
      </c>
      <c r="G35" s="223">
        <f t="shared" si="15"/>
        <v>5166.7199999999984</v>
      </c>
      <c r="H35" s="223">
        <f t="shared" si="15"/>
        <v>5166.7199999999984</v>
      </c>
      <c r="I35" s="223">
        <f t="shared" si="15"/>
        <v>5166.7199999999984</v>
      </c>
      <c r="J35" s="223">
        <f t="shared" si="15"/>
        <v>5166.7199999999984</v>
      </c>
      <c r="K35" s="223">
        <f t="shared" si="15"/>
        <v>5166.7199999999984</v>
      </c>
      <c r="L35" s="223">
        <f t="shared" si="15"/>
        <v>5166.7199999999984</v>
      </c>
      <c r="M35" s="223">
        <f t="shared" si="15"/>
        <v>0</v>
      </c>
      <c r="N35" s="223">
        <f t="shared" si="15"/>
        <v>0</v>
      </c>
      <c r="O35" s="223">
        <f t="shared" si="15"/>
        <v>0</v>
      </c>
      <c r="P35" s="223">
        <f t="shared" si="15"/>
        <v>0</v>
      </c>
      <c r="Q35" s="223">
        <f t="shared" si="15"/>
        <v>0</v>
      </c>
      <c r="R35" s="223">
        <f t="shared" si="15"/>
        <v>0</v>
      </c>
      <c r="S35" s="223">
        <f t="shared" si="15"/>
        <v>0</v>
      </c>
      <c r="T35" s="223">
        <f t="shared" si="15"/>
        <v>0</v>
      </c>
      <c r="U35" s="223">
        <f t="shared" si="15"/>
        <v>0</v>
      </c>
      <c r="V35" s="223">
        <f t="shared" si="15"/>
        <v>0</v>
      </c>
      <c r="W35" s="223">
        <f t="shared" si="15"/>
        <v>0</v>
      </c>
      <c r="X35" s="223">
        <f t="shared" si="15"/>
        <v>0</v>
      </c>
      <c r="Y35" s="223">
        <f t="shared" si="15"/>
        <v>0</v>
      </c>
      <c r="Z35" s="223">
        <f t="shared" si="15"/>
        <v>0</v>
      </c>
      <c r="AA35" s="223">
        <f t="shared" si="15"/>
        <v>0</v>
      </c>
      <c r="AB35" s="223">
        <f t="shared" si="15"/>
        <v>0</v>
      </c>
      <c r="AC35" s="223">
        <f t="shared" si="15"/>
        <v>0</v>
      </c>
      <c r="AD35" s="223">
        <f t="shared" si="15"/>
        <v>0</v>
      </c>
      <c r="AE35" s="223">
        <f t="shared" si="15"/>
        <v>0</v>
      </c>
      <c r="AF35" s="223">
        <f t="shared" si="15"/>
        <v>0</v>
      </c>
      <c r="AG35" s="224">
        <f t="shared" si="15"/>
        <v>0</v>
      </c>
      <c r="AH35" s="190"/>
      <c r="AI35" s="221">
        <f t="shared" si="5"/>
        <v>41333.759999999987</v>
      </c>
      <c r="AJ35" s="190"/>
    </row>
    <row r="36" spans="1:36" ht="15" x14ac:dyDescent="0.25">
      <c r="A36" s="72" t="s">
        <v>145</v>
      </c>
      <c r="B36" s="73" t="s">
        <v>128</v>
      </c>
      <c r="E36" s="230">
        <f>+E18*E$22</f>
        <v>308.39999999999998</v>
      </c>
      <c r="F36" s="231">
        <f t="shared" ref="F36:AG36" si="16">+F18*F$22</f>
        <v>308.39999999999998</v>
      </c>
      <c r="G36" s="231">
        <f t="shared" si="16"/>
        <v>308.39999999999998</v>
      </c>
      <c r="H36" s="231">
        <f t="shared" si="16"/>
        <v>308.39999999999998</v>
      </c>
      <c r="I36" s="231">
        <f t="shared" si="16"/>
        <v>308.39999999999998</v>
      </c>
      <c r="J36" s="231">
        <f t="shared" si="16"/>
        <v>308.39999999999998</v>
      </c>
      <c r="K36" s="231">
        <f t="shared" si="16"/>
        <v>308.39999999999998</v>
      </c>
      <c r="L36" s="231">
        <f t="shared" si="16"/>
        <v>308.39999999999998</v>
      </c>
      <c r="M36" s="231">
        <f t="shared" si="16"/>
        <v>0</v>
      </c>
      <c r="N36" s="231">
        <f t="shared" si="16"/>
        <v>0</v>
      </c>
      <c r="O36" s="231">
        <f t="shared" si="16"/>
        <v>0</v>
      </c>
      <c r="P36" s="231">
        <f t="shared" si="16"/>
        <v>0</v>
      </c>
      <c r="Q36" s="231">
        <f t="shared" si="16"/>
        <v>0</v>
      </c>
      <c r="R36" s="231">
        <f t="shared" si="16"/>
        <v>0</v>
      </c>
      <c r="S36" s="231">
        <f t="shared" si="16"/>
        <v>0</v>
      </c>
      <c r="T36" s="231">
        <f t="shared" si="16"/>
        <v>0</v>
      </c>
      <c r="U36" s="231">
        <f t="shared" si="16"/>
        <v>0</v>
      </c>
      <c r="V36" s="231">
        <f t="shared" si="16"/>
        <v>0</v>
      </c>
      <c r="W36" s="231">
        <f t="shared" si="16"/>
        <v>0</v>
      </c>
      <c r="X36" s="231">
        <f t="shared" si="16"/>
        <v>0</v>
      </c>
      <c r="Y36" s="231">
        <f t="shared" si="16"/>
        <v>0</v>
      </c>
      <c r="Z36" s="231">
        <f t="shared" si="16"/>
        <v>0</v>
      </c>
      <c r="AA36" s="231">
        <f t="shared" si="16"/>
        <v>0</v>
      </c>
      <c r="AB36" s="231">
        <f t="shared" si="16"/>
        <v>0</v>
      </c>
      <c r="AC36" s="231">
        <f t="shared" si="16"/>
        <v>0</v>
      </c>
      <c r="AD36" s="231">
        <f t="shared" si="16"/>
        <v>0</v>
      </c>
      <c r="AE36" s="231">
        <f t="shared" si="16"/>
        <v>0</v>
      </c>
      <c r="AF36" s="231">
        <f t="shared" si="16"/>
        <v>0</v>
      </c>
      <c r="AG36" s="232">
        <f t="shared" si="16"/>
        <v>0</v>
      </c>
      <c r="AI36" s="229">
        <f t="shared" si="5"/>
        <v>2467.2000000000003</v>
      </c>
      <c r="AJ36" s="190"/>
    </row>
    <row r="37" spans="1:36" ht="14.45" customHeight="1" x14ac:dyDescent="0.25">
      <c r="B37" s="188" t="s">
        <v>201</v>
      </c>
      <c r="C37" s="193"/>
      <c r="E37" s="233">
        <f t="shared" ref="E37:AG37" si="17">SUM(E25:E36)</f>
        <v>30850.0075</v>
      </c>
      <c r="F37" s="233">
        <f t="shared" si="17"/>
        <v>8082.501857848054</v>
      </c>
      <c r="G37" s="233">
        <f t="shared" si="17"/>
        <v>7890.7958489562334</v>
      </c>
      <c r="H37" s="233">
        <f t="shared" si="17"/>
        <v>7686.628949486445</v>
      </c>
      <c r="I37" s="233">
        <f t="shared" si="17"/>
        <v>7469.1912015511189</v>
      </c>
      <c r="J37" s="233">
        <f t="shared" si="17"/>
        <v>7237.6199999999981</v>
      </c>
      <c r="K37" s="233">
        <f t="shared" si="17"/>
        <v>7237.6199999999981</v>
      </c>
      <c r="L37" s="233">
        <f t="shared" si="17"/>
        <v>7237.6199999999981</v>
      </c>
      <c r="M37" s="233">
        <f t="shared" si="17"/>
        <v>0</v>
      </c>
      <c r="N37" s="233">
        <f t="shared" si="17"/>
        <v>0</v>
      </c>
      <c r="O37" s="233">
        <f t="shared" si="17"/>
        <v>0</v>
      </c>
      <c r="P37" s="233">
        <f t="shared" si="17"/>
        <v>0</v>
      </c>
      <c r="Q37" s="233">
        <f t="shared" si="17"/>
        <v>0</v>
      </c>
      <c r="R37" s="233">
        <f t="shared" si="17"/>
        <v>0</v>
      </c>
      <c r="S37" s="233">
        <f t="shared" si="17"/>
        <v>0</v>
      </c>
      <c r="T37" s="233">
        <f t="shared" si="17"/>
        <v>0</v>
      </c>
      <c r="U37" s="233">
        <f t="shared" si="17"/>
        <v>0</v>
      </c>
      <c r="V37" s="233">
        <f t="shared" si="17"/>
        <v>0</v>
      </c>
      <c r="W37" s="233">
        <f t="shared" si="17"/>
        <v>0</v>
      </c>
      <c r="X37" s="233">
        <f t="shared" si="17"/>
        <v>0</v>
      </c>
      <c r="Y37" s="233">
        <f t="shared" si="17"/>
        <v>0</v>
      </c>
      <c r="Z37" s="233">
        <f t="shared" si="17"/>
        <v>0</v>
      </c>
      <c r="AA37" s="233">
        <f t="shared" si="17"/>
        <v>0</v>
      </c>
      <c r="AB37" s="233">
        <f t="shared" si="17"/>
        <v>0</v>
      </c>
      <c r="AC37" s="233">
        <f t="shared" si="17"/>
        <v>0</v>
      </c>
      <c r="AD37" s="233">
        <f t="shared" si="17"/>
        <v>0</v>
      </c>
      <c r="AE37" s="233">
        <f t="shared" si="17"/>
        <v>0</v>
      </c>
      <c r="AF37" s="233">
        <f t="shared" si="17"/>
        <v>0</v>
      </c>
      <c r="AG37" s="233">
        <f t="shared" si="17"/>
        <v>0</v>
      </c>
      <c r="AH37" s="190"/>
      <c r="AI37" s="234">
        <f>+SUM(E37:AG37)</f>
        <v>83691.985357841841</v>
      </c>
    </row>
    <row r="38" spans="1:36" ht="14.45" customHeight="1" x14ac:dyDescent="0.25"/>
    <row r="39" spans="1:36" ht="14.45" customHeight="1" x14ac:dyDescent="0.25"/>
    <row r="40" spans="1:36" ht="14.45" customHeight="1" x14ac:dyDescent="0.25"/>
    <row r="41" spans="1:36" ht="14.45" customHeight="1" x14ac:dyDescent="0.25">
      <c r="A41" s="254" t="s">
        <v>208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</row>
    <row r="42" spans="1:36" ht="14.45" customHeight="1" x14ac:dyDescent="0.25">
      <c r="A42" s="99"/>
      <c r="E42" s="189">
        <v>0</v>
      </c>
      <c r="F42" s="189">
        <v>1</v>
      </c>
      <c r="G42" s="189">
        <v>2</v>
      </c>
      <c r="H42" s="189">
        <v>3</v>
      </c>
      <c r="I42" s="189">
        <v>4</v>
      </c>
      <c r="J42" s="189">
        <v>5</v>
      </c>
      <c r="K42" s="189">
        <v>6</v>
      </c>
      <c r="L42" s="189">
        <v>7</v>
      </c>
      <c r="M42" s="189">
        <v>8</v>
      </c>
      <c r="N42" s="189">
        <v>9</v>
      </c>
      <c r="O42" s="189">
        <v>10</v>
      </c>
      <c r="P42" s="189">
        <v>11</v>
      </c>
      <c r="Q42" s="189">
        <v>12</v>
      </c>
      <c r="R42" s="189">
        <v>13</v>
      </c>
      <c r="S42" s="189">
        <v>14</v>
      </c>
      <c r="T42" s="189">
        <v>15</v>
      </c>
      <c r="U42" s="189">
        <v>16</v>
      </c>
      <c r="V42" s="189">
        <v>17</v>
      </c>
      <c r="W42" s="189">
        <v>18</v>
      </c>
      <c r="X42" s="189">
        <v>19</v>
      </c>
      <c r="Y42" s="189">
        <v>20</v>
      </c>
      <c r="Z42" s="189">
        <v>21</v>
      </c>
      <c r="AA42" s="189">
        <v>22</v>
      </c>
      <c r="AB42" s="189">
        <v>23</v>
      </c>
      <c r="AC42" s="189">
        <v>24</v>
      </c>
      <c r="AD42" s="189">
        <v>25</v>
      </c>
      <c r="AE42" s="189">
        <v>26</v>
      </c>
      <c r="AF42" s="189">
        <v>27</v>
      </c>
      <c r="AG42" s="189">
        <v>28</v>
      </c>
    </row>
    <row r="43" spans="1:36" ht="14.45" customHeight="1" x14ac:dyDescent="0.25">
      <c r="A43" s="252" t="s">
        <v>200</v>
      </c>
      <c r="B43" s="252"/>
      <c r="C43" s="188" t="s">
        <v>1</v>
      </c>
      <c r="E43" s="191">
        <v>2022</v>
      </c>
      <c r="F43" s="191">
        <f>+E43+1</f>
        <v>2023</v>
      </c>
      <c r="G43" s="192">
        <f t="shared" ref="G43:AG43" si="18">+F43+1</f>
        <v>2024</v>
      </c>
      <c r="H43" s="192">
        <f t="shared" si="18"/>
        <v>2025</v>
      </c>
      <c r="I43" s="192">
        <f t="shared" si="18"/>
        <v>2026</v>
      </c>
      <c r="J43" s="192">
        <f t="shared" si="18"/>
        <v>2027</v>
      </c>
      <c r="K43" s="192">
        <f t="shared" si="18"/>
        <v>2028</v>
      </c>
      <c r="L43" s="192">
        <f t="shared" si="18"/>
        <v>2029</v>
      </c>
      <c r="M43" s="192">
        <f t="shared" si="18"/>
        <v>2030</v>
      </c>
      <c r="N43" s="192">
        <f t="shared" si="18"/>
        <v>2031</v>
      </c>
      <c r="O43" s="192">
        <f t="shared" si="18"/>
        <v>2032</v>
      </c>
      <c r="P43" s="192">
        <f t="shared" si="18"/>
        <v>2033</v>
      </c>
      <c r="Q43" s="192">
        <f t="shared" si="18"/>
        <v>2034</v>
      </c>
      <c r="R43" s="192">
        <f t="shared" si="18"/>
        <v>2035</v>
      </c>
      <c r="S43" s="192">
        <f t="shared" si="18"/>
        <v>2036</v>
      </c>
      <c r="T43" s="192">
        <f t="shared" si="18"/>
        <v>2037</v>
      </c>
      <c r="U43" s="192">
        <f t="shared" si="18"/>
        <v>2038</v>
      </c>
      <c r="V43" s="192">
        <f t="shared" si="18"/>
        <v>2039</v>
      </c>
      <c r="W43" s="192">
        <f t="shared" si="18"/>
        <v>2040</v>
      </c>
      <c r="X43" s="192">
        <f t="shared" si="18"/>
        <v>2041</v>
      </c>
      <c r="Y43" s="192">
        <f t="shared" si="18"/>
        <v>2042</v>
      </c>
      <c r="Z43" s="192">
        <f t="shared" si="18"/>
        <v>2043</v>
      </c>
      <c r="AA43" s="192">
        <f t="shared" si="18"/>
        <v>2044</v>
      </c>
      <c r="AB43" s="192">
        <f t="shared" si="18"/>
        <v>2045</v>
      </c>
      <c r="AC43" s="192">
        <f t="shared" si="18"/>
        <v>2046</v>
      </c>
      <c r="AD43" s="192">
        <f t="shared" si="18"/>
        <v>2047</v>
      </c>
      <c r="AE43" s="192">
        <f t="shared" si="18"/>
        <v>2048</v>
      </c>
      <c r="AF43" s="192">
        <f t="shared" si="18"/>
        <v>2049</v>
      </c>
      <c r="AG43" s="192">
        <f t="shared" si="18"/>
        <v>2050</v>
      </c>
      <c r="AI43" s="192" t="s">
        <v>201</v>
      </c>
    </row>
    <row r="44" spans="1:36" ht="14.45" customHeight="1" x14ac:dyDescent="0.25">
      <c r="A44" s="249" t="s">
        <v>17</v>
      </c>
      <c r="B44" s="30" t="s">
        <v>31</v>
      </c>
      <c r="C44" s="193"/>
      <c r="E44" s="194">
        <f>CTP!E4</f>
        <v>34000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  <c r="K44" s="195">
        <v>0</v>
      </c>
      <c r="L44" s="195">
        <v>0</v>
      </c>
      <c r="M44" s="195">
        <v>0</v>
      </c>
      <c r="N44" s="195">
        <v>0</v>
      </c>
      <c r="O44" s="195">
        <v>0</v>
      </c>
      <c r="P44" s="195">
        <v>0</v>
      </c>
      <c r="Q44" s="195">
        <v>0</v>
      </c>
      <c r="R44" s="195">
        <v>0</v>
      </c>
      <c r="S44" s="195">
        <v>0</v>
      </c>
      <c r="T44" s="195">
        <v>0</v>
      </c>
      <c r="U44" s="195">
        <v>0</v>
      </c>
      <c r="V44" s="195">
        <v>0</v>
      </c>
      <c r="W44" s="195">
        <v>0</v>
      </c>
      <c r="X44" s="195">
        <v>0</v>
      </c>
      <c r="Y44" s="195">
        <v>0</v>
      </c>
      <c r="Z44" s="195">
        <v>0</v>
      </c>
      <c r="AA44" s="195">
        <v>0</v>
      </c>
      <c r="AB44" s="195">
        <v>0</v>
      </c>
      <c r="AC44" s="195">
        <v>0</v>
      </c>
      <c r="AD44" s="195">
        <v>0</v>
      </c>
      <c r="AE44" s="195">
        <v>0</v>
      </c>
      <c r="AF44" s="195">
        <v>0</v>
      </c>
      <c r="AG44" s="196">
        <v>0</v>
      </c>
      <c r="AH44" s="190"/>
      <c r="AI44" s="197">
        <f>+SUM(E44:AG44)</f>
        <v>34000</v>
      </c>
    </row>
    <row r="45" spans="1:36" ht="14.45" customHeight="1" x14ac:dyDescent="0.25">
      <c r="A45" s="251"/>
      <c r="B45" s="33" t="s">
        <v>64</v>
      </c>
      <c r="C45" s="193"/>
      <c r="E45" s="202">
        <f>CTP!E5</f>
        <v>2000</v>
      </c>
      <c r="F45" s="203">
        <v>0</v>
      </c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03">
        <v>0</v>
      </c>
      <c r="V45" s="203">
        <v>0</v>
      </c>
      <c r="W45" s="203">
        <v>0</v>
      </c>
      <c r="X45" s="203">
        <v>0</v>
      </c>
      <c r="Y45" s="203">
        <v>0</v>
      </c>
      <c r="Z45" s="203">
        <v>0</v>
      </c>
      <c r="AA45" s="203">
        <v>0</v>
      </c>
      <c r="AB45" s="203">
        <v>0</v>
      </c>
      <c r="AC45" s="203">
        <v>0</v>
      </c>
      <c r="AD45" s="203">
        <v>0</v>
      </c>
      <c r="AE45" s="203">
        <v>0</v>
      </c>
      <c r="AF45" s="203">
        <v>0</v>
      </c>
      <c r="AG45" s="204">
        <v>0</v>
      </c>
      <c r="AH45" s="190"/>
      <c r="AI45" s="201">
        <f t="shared" ref="AI45:AI53" si="19">+SUM(E45:AG45)</f>
        <v>2000</v>
      </c>
    </row>
    <row r="46" spans="1:36" ht="14.45" customHeight="1" x14ac:dyDescent="0.25">
      <c r="A46" s="250"/>
      <c r="B46" s="31" t="s">
        <v>124</v>
      </c>
      <c r="C46" s="193"/>
      <c r="E46" s="202">
        <f>CTP!E6</f>
        <v>0</v>
      </c>
      <c r="F46" s="203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3">
        <v>0</v>
      </c>
      <c r="S46" s="203">
        <v>0</v>
      </c>
      <c r="T46" s="203">
        <v>0</v>
      </c>
      <c r="U46" s="203">
        <v>0</v>
      </c>
      <c r="V46" s="203">
        <v>0</v>
      </c>
      <c r="W46" s="203">
        <v>0</v>
      </c>
      <c r="X46" s="203">
        <v>0</v>
      </c>
      <c r="Y46" s="203">
        <v>0</v>
      </c>
      <c r="Z46" s="203">
        <v>0</v>
      </c>
      <c r="AA46" s="203">
        <v>0</v>
      </c>
      <c r="AB46" s="203">
        <v>0</v>
      </c>
      <c r="AC46" s="203">
        <v>0</v>
      </c>
      <c r="AD46" s="203">
        <v>0</v>
      </c>
      <c r="AE46" s="203">
        <v>0</v>
      </c>
      <c r="AF46" s="203">
        <v>0</v>
      </c>
      <c r="AG46" s="204">
        <v>0</v>
      </c>
      <c r="AH46" s="190"/>
      <c r="AI46" s="197">
        <f t="shared" si="19"/>
        <v>0</v>
      </c>
    </row>
    <row r="47" spans="1:36" ht="14.45" customHeight="1" x14ac:dyDescent="0.25">
      <c r="A47" s="249" t="s">
        <v>18</v>
      </c>
      <c r="B47" s="30" t="s">
        <v>92</v>
      </c>
      <c r="C47" s="193"/>
      <c r="E47" s="198">
        <f>CTP!E7</f>
        <v>1700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  <c r="AE47" s="199">
        <v>0</v>
      </c>
      <c r="AF47" s="199">
        <v>0</v>
      </c>
      <c r="AG47" s="200">
        <v>0</v>
      </c>
      <c r="AH47" s="190"/>
      <c r="AI47" s="205">
        <f t="shared" si="19"/>
        <v>1700</v>
      </c>
    </row>
    <row r="48" spans="1:36" ht="14.45" customHeight="1" x14ac:dyDescent="0.25">
      <c r="A48" s="251"/>
      <c r="B48" s="33" t="s">
        <v>37</v>
      </c>
      <c r="C48" s="193"/>
      <c r="E48" s="194">
        <f>CTP!E8</f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f>[1]CTP!$C$7</f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6">
        <v>0</v>
      </c>
      <c r="AH48" s="190"/>
      <c r="AI48" s="205">
        <f t="shared" si="19"/>
        <v>0</v>
      </c>
    </row>
    <row r="49" spans="1:35" ht="14.45" customHeight="1" x14ac:dyDescent="0.25">
      <c r="A49" s="251"/>
      <c r="B49" s="33" t="s">
        <v>93</v>
      </c>
      <c r="C49" s="193"/>
      <c r="E49" s="202">
        <f>CTP!E9</f>
        <v>7480</v>
      </c>
      <c r="F49" s="203">
        <v>0</v>
      </c>
      <c r="G49" s="203">
        <v>0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3">
        <v>0</v>
      </c>
      <c r="N49" s="203">
        <v>0</v>
      </c>
      <c r="O49" s="203">
        <v>0</v>
      </c>
      <c r="P49" s="203">
        <v>0</v>
      </c>
      <c r="Q49" s="203">
        <v>0</v>
      </c>
      <c r="R49" s="203">
        <v>0</v>
      </c>
      <c r="S49" s="203">
        <v>0</v>
      </c>
      <c r="T49" s="203">
        <v>0</v>
      </c>
      <c r="U49" s="203">
        <v>0</v>
      </c>
      <c r="V49" s="203">
        <v>0</v>
      </c>
      <c r="W49" s="203">
        <v>0</v>
      </c>
      <c r="X49" s="203">
        <v>0</v>
      </c>
      <c r="Y49" s="203">
        <v>0</v>
      </c>
      <c r="Z49" s="203">
        <v>0</v>
      </c>
      <c r="AA49" s="203">
        <v>0</v>
      </c>
      <c r="AB49" s="203">
        <v>0</v>
      </c>
      <c r="AC49" s="203">
        <v>0</v>
      </c>
      <c r="AD49" s="203">
        <v>0</v>
      </c>
      <c r="AE49" s="203">
        <v>0</v>
      </c>
      <c r="AF49" s="203">
        <v>0</v>
      </c>
      <c r="AG49" s="204">
        <v>0</v>
      </c>
      <c r="AH49" s="190"/>
      <c r="AI49" s="205">
        <f t="shared" si="19"/>
        <v>7480</v>
      </c>
    </row>
    <row r="50" spans="1:35" ht="14.45" customHeight="1" x14ac:dyDescent="0.25">
      <c r="A50" s="251"/>
      <c r="B50" s="125" t="s">
        <v>36</v>
      </c>
      <c r="C50" s="193"/>
      <c r="E50" s="202">
        <f>CTP!E10</f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3">
        <v>0</v>
      </c>
      <c r="V50" s="203">
        <v>0</v>
      </c>
      <c r="W50" s="203">
        <v>0</v>
      </c>
      <c r="X50" s="203">
        <v>0</v>
      </c>
      <c r="Y50" s="203">
        <v>0</v>
      </c>
      <c r="Z50" s="203">
        <v>0</v>
      </c>
      <c r="AA50" s="203">
        <v>0</v>
      </c>
      <c r="AB50" s="203">
        <v>0</v>
      </c>
      <c r="AC50" s="203">
        <v>0</v>
      </c>
      <c r="AD50" s="203">
        <v>0</v>
      </c>
      <c r="AE50" s="203">
        <v>0</v>
      </c>
      <c r="AF50" s="203">
        <v>0</v>
      </c>
      <c r="AG50" s="204">
        <v>0</v>
      </c>
      <c r="AH50" s="190"/>
      <c r="AI50" s="205">
        <f t="shared" si="19"/>
        <v>0</v>
      </c>
    </row>
    <row r="51" spans="1:35" ht="14.45" customHeight="1" x14ac:dyDescent="0.25">
      <c r="A51" s="251"/>
      <c r="B51" s="125" t="s">
        <v>144</v>
      </c>
      <c r="C51" s="193"/>
      <c r="E51" s="202">
        <f>Parametros!$C$128*CTP!$E$4</f>
        <v>765</v>
      </c>
      <c r="F51" s="203">
        <f>Parametros!$C$128*CTP!$E$4</f>
        <v>765</v>
      </c>
      <c r="G51" s="203">
        <f>Parametros!$C$128*CTP!$E$4</f>
        <v>765</v>
      </c>
      <c r="H51" s="203">
        <f>Parametros!$C$128*CTP!$E$4</f>
        <v>765</v>
      </c>
      <c r="I51" s="203">
        <f>Parametros!$C$128*CTP!$E$4</f>
        <v>765</v>
      </c>
      <c r="J51" s="203">
        <f>Parametros!$C$128*CTP!$E$4</f>
        <v>765</v>
      </c>
      <c r="K51" s="203">
        <f>Parametros!$C$128*CTP!$E$4</f>
        <v>765</v>
      </c>
      <c r="L51" s="203">
        <f>Parametros!$C$128*CTP!$E$4</f>
        <v>765</v>
      </c>
      <c r="M51" s="203">
        <v>0</v>
      </c>
      <c r="N51" s="203">
        <v>0</v>
      </c>
      <c r="O51" s="203">
        <v>0</v>
      </c>
      <c r="P51" s="203">
        <v>0</v>
      </c>
      <c r="Q51" s="203">
        <v>0</v>
      </c>
      <c r="R51" s="203">
        <v>0</v>
      </c>
      <c r="S51" s="203">
        <v>0</v>
      </c>
      <c r="T51" s="203">
        <v>0</v>
      </c>
      <c r="U51" s="203">
        <v>0</v>
      </c>
      <c r="V51" s="203">
        <v>0</v>
      </c>
      <c r="W51" s="203">
        <v>0</v>
      </c>
      <c r="X51" s="203">
        <v>0</v>
      </c>
      <c r="Y51" s="203">
        <v>0</v>
      </c>
      <c r="Z51" s="203">
        <v>0</v>
      </c>
      <c r="AA51" s="203">
        <v>0</v>
      </c>
      <c r="AB51" s="203">
        <v>0</v>
      </c>
      <c r="AC51" s="203">
        <v>0</v>
      </c>
      <c r="AD51" s="203">
        <v>0</v>
      </c>
      <c r="AE51" s="203">
        <v>0</v>
      </c>
      <c r="AF51" s="203">
        <v>0</v>
      </c>
      <c r="AG51" s="204">
        <v>0</v>
      </c>
      <c r="AH51" s="190"/>
      <c r="AI51" s="205">
        <f t="shared" si="19"/>
        <v>6120</v>
      </c>
    </row>
    <row r="52" spans="1:35" ht="14.45" customHeight="1" x14ac:dyDescent="0.25">
      <c r="A52" s="250"/>
      <c r="B52" s="31" t="s">
        <v>125</v>
      </c>
      <c r="C52" s="193"/>
      <c r="E52" s="206">
        <f>-IPMT(Parametros!$C$55,1,Parametros!$C$53,(SUM(CTP!$E$4,CTP!$E$7:$E$10))*Parametros!$C$52)</f>
        <v>1768.2209999999998</v>
      </c>
      <c r="F52" s="207">
        <f>-IPMT(Parametros!$C$55,2,Parametros!$C$53,(SUM(CTP!$E$4,CTP!$E$7:$E$10))*Parametros!$C$52)</f>
        <v>1453.6040968261239</v>
      </c>
      <c r="G52" s="207">
        <f>-IPMT(Parametros!$C$55,3,Parametros!$C$53,(SUM(CTP!$E$4,CTP!$E$7:$E$10))*Parametros!$C$52)</f>
        <v>1120.5821048165758</v>
      </c>
      <c r="H52" s="207">
        <f>-IPMT(Parametros!$C$55,4,Parametros!$C$53,(SUM(CTP!$E$4,CTP!$E$7:$E$10))*Parametros!$C$52)</f>
        <v>768.07832627446885</v>
      </c>
      <c r="I52" s="207">
        <f>-IPMT(Parametros!$C$55,5,Parametros!$C$53,(SUM(CTP!$E$4,CTP!$E$7:$E$10))*Parametros!$C$52)</f>
        <v>394.95307668764895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  <c r="AE52" s="199">
        <v>0</v>
      </c>
      <c r="AF52" s="199">
        <v>0</v>
      </c>
      <c r="AG52" s="200">
        <v>0</v>
      </c>
      <c r="AH52" s="190"/>
      <c r="AI52" s="201">
        <f t="shared" si="19"/>
        <v>5505.4386046048176</v>
      </c>
    </row>
    <row r="53" spans="1:35" ht="14.45" customHeight="1" x14ac:dyDescent="0.25">
      <c r="A53" s="249" t="s">
        <v>19</v>
      </c>
      <c r="B53" s="125" t="s">
        <v>53</v>
      </c>
      <c r="C53" s="193"/>
      <c r="E53" s="194">
        <f>SUM(Parametros!$C$20:$C$22)*Parametros!$C$41</f>
        <v>600</v>
      </c>
      <c r="F53" s="195">
        <f>SUM(Parametros!$C$20:$C$22)*Parametros!$C$41</f>
        <v>600</v>
      </c>
      <c r="G53" s="195">
        <f>SUM(Parametros!$C$20:$C$22)*Parametros!$C$41</f>
        <v>600</v>
      </c>
      <c r="H53" s="195">
        <f>SUM(Parametros!$C$20:$C$22)*Parametros!$C$41</f>
        <v>600</v>
      </c>
      <c r="I53" s="195">
        <f>SUM(Parametros!$C$20:$C$22)*Parametros!$C$41</f>
        <v>600</v>
      </c>
      <c r="J53" s="195">
        <f>SUM(Parametros!$C$20:$C$22)*Parametros!$C$41</f>
        <v>600</v>
      </c>
      <c r="K53" s="195">
        <f>SUM(Parametros!$C$20:$C$22)*Parametros!$C$41</f>
        <v>600</v>
      </c>
      <c r="L53" s="195">
        <f>SUM(Parametros!$C$20:$C$22)*Parametros!$C$41</f>
        <v>600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5">
        <v>0</v>
      </c>
      <c r="AD53" s="195">
        <v>0</v>
      </c>
      <c r="AE53" s="195">
        <v>0</v>
      </c>
      <c r="AF53" s="195">
        <v>0</v>
      </c>
      <c r="AG53" s="196">
        <v>0</v>
      </c>
      <c r="AH53" s="190"/>
      <c r="AI53" s="197">
        <f t="shared" si="19"/>
        <v>4800</v>
      </c>
    </row>
    <row r="54" spans="1:35" ht="14.45" customHeight="1" x14ac:dyDescent="0.25">
      <c r="A54" s="250"/>
      <c r="B54" s="31" t="s">
        <v>126</v>
      </c>
      <c r="C54" s="193"/>
      <c r="E54" s="198">
        <f>Parametros!I80</f>
        <v>503.976</v>
      </c>
      <c r="F54" s="199">
        <f>Parametros!I81</f>
        <v>503.976</v>
      </c>
      <c r="G54" s="199">
        <f>Parametros!I82</f>
        <v>503.976</v>
      </c>
      <c r="H54" s="199">
        <f>Parametros!I83</f>
        <v>503.976</v>
      </c>
      <c r="I54" s="199">
        <f>Parametros!I84</f>
        <v>503.976</v>
      </c>
      <c r="J54" s="199">
        <f>Parametros!I85</f>
        <v>503.976</v>
      </c>
      <c r="K54" s="199">
        <f>Parametros!I86</f>
        <v>503.976</v>
      </c>
      <c r="L54" s="199">
        <f>Parametros!I87</f>
        <v>503.976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  <c r="AE54" s="199">
        <v>0</v>
      </c>
      <c r="AF54" s="199">
        <v>0</v>
      </c>
      <c r="AG54" s="200">
        <v>0</v>
      </c>
      <c r="AH54" s="190"/>
      <c r="AI54" s="205">
        <f>+SUM(E54:AG54)</f>
        <v>4031.8080000000004</v>
      </c>
    </row>
    <row r="55" spans="1:35" ht="14.45" customHeight="1" x14ac:dyDescent="0.25">
      <c r="A55" s="72" t="s">
        <v>145</v>
      </c>
      <c r="B55" s="73" t="s">
        <v>128</v>
      </c>
      <c r="C55" s="193"/>
      <c r="E55" s="208">
        <f>Parametros!$C$135*Parametros!$C$41*Parametros!$C$19/1000*Parametros!$C$136</f>
        <v>6.6240000000000006</v>
      </c>
      <c r="F55" s="209">
        <f>Parametros!$C$135*Parametros!$C$41*Parametros!$C$19/1000*Parametros!$C$136</f>
        <v>6.6240000000000006</v>
      </c>
      <c r="G55" s="209">
        <f>Parametros!$C$135*Parametros!$C$41*Parametros!$C$19/1000*Parametros!$C$136</f>
        <v>6.6240000000000006</v>
      </c>
      <c r="H55" s="209">
        <f>Parametros!$C$135*Parametros!$C$41*Parametros!$C$19/1000*Parametros!$C$136</f>
        <v>6.6240000000000006</v>
      </c>
      <c r="I55" s="209">
        <f>Parametros!$C$135*Parametros!$C$41*Parametros!$C$19/1000*Parametros!$C$136</f>
        <v>6.6240000000000006</v>
      </c>
      <c r="J55" s="209">
        <f>Parametros!$C$135*Parametros!$C$41*Parametros!$C$19/1000*Parametros!$C$136</f>
        <v>6.6240000000000006</v>
      </c>
      <c r="K55" s="209">
        <f>Parametros!$C$135*Parametros!$C$41*Parametros!$C$19/1000*Parametros!$C$136</f>
        <v>6.6240000000000006</v>
      </c>
      <c r="L55" s="209">
        <f>Parametros!$C$135*Parametros!$C$41*Parametros!$C$19/1000*Parametros!$C$136</f>
        <v>6.6240000000000006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210">
        <v>0</v>
      </c>
      <c r="AC55" s="210">
        <v>0</v>
      </c>
      <c r="AD55" s="210">
        <v>0</v>
      </c>
      <c r="AE55" s="210">
        <v>0</v>
      </c>
      <c r="AF55" s="210">
        <v>0</v>
      </c>
      <c r="AG55" s="211">
        <v>0</v>
      </c>
      <c r="AH55" s="190"/>
      <c r="AI55" s="201">
        <f>+SUM(E55:AG55)</f>
        <v>52.992000000000012</v>
      </c>
    </row>
    <row r="56" spans="1:35" ht="14.45" customHeight="1" x14ac:dyDescent="0.25">
      <c r="B56" s="188" t="s">
        <v>201</v>
      </c>
      <c r="C56" s="193"/>
      <c r="E56" s="212">
        <f t="shared" ref="E56:AG56" si="20">SUM(E44:E55)</f>
        <v>48823.821000000004</v>
      </c>
      <c r="F56" s="212">
        <f t="shared" si="20"/>
        <v>3329.204096826124</v>
      </c>
      <c r="G56" s="212">
        <f t="shared" si="20"/>
        <v>2996.1821048165757</v>
      </c>
      <c r="H56" s="212">
        <f t="shared" si="20"/>
        <v>2643.6783262744689</v>
      </c>
      <c r="I56" s="212">
        <f t="shared" si="20"/>
        <v>2270.5530766876486</v>
      </c>
      <c r="J56" s="212">
        <f t="shared" si="20"/>
        <v>1875.6000000000001</v>
      </c>
      <c r="K56" s="212">
        <f t="shared" si="20"/>
        <v>1875.6000000000001</v>
      </c>
      <c r="L56" s="212">
        <f t="shared" si="20"/>
        <v>1875.6000000000001</v>
      </c>
      <c r="M56" s="212">
        <f t="shared" si="20"/>
        <v>0</v>
      </c>
      <c r="N56" s="212">
        <f t="shared" si="20"/>
        <v>0</v>
      </c>
      <c r="O56" s="212">
        <f t="shared" si="20"/>
        <v>0</v>
      </c>
      <c r="P56" s="212">
        <f t="shared" si="20"/>
        <v>0</v>
      </c>
      <c r="Q56" s="212">
        <f t="shared" si="20"/>
        <v>0</v>
      </c>
      <c r="R56" s="212">
        <f t="shared" si="20"/>
        <v>0</v>
      </c>
      <c r="S56" s="212">
        <f t="shared" si="20"/>
        <v>0</v>
      </c>
      <c r="T56" s="212">
        <f t="shared" si="20"/>
        <v>0</v>
      </c>
      <c r="U56" s="212">
        <f t="shared" si="20"/>
        <v>0</v>
      </c>
      <c r="V56" s="212">
        <f t="shared" si="20"/>
        <v>0</v>
      </c>
      <c r="W56" s="212">
        <f t="shared" si="20"/>
        <v>0</v>
      </c>
      <c r="X56" s="212">
        <f t="shared" si="20"/>
        <v>0</v>
      </c>
      <c r="Y56" s="212">
        <f t="shared" si="20"/>
        <v>0</v>
      </c>
      <c r="Z56" s="212">
        <f t="shared" si="20"/>
        <v>0</v>
      </c>
      <c r="AA56" s="212">
        <f t="shared" si="20"/>
        <v>0</v>
      </c>
      <c r="AB56" s="212">
        <f t="shared" si="20"/>
        <v>0</v>
      </c>
      <c r="AC56" s="212">
        <f t="shared" si="20"/>
        <v>0</v>
      </c>
      <c r="AD56" s="212">
        <f t="shared" si="20"/>
        <v>0</v>
      </c>
      <c r="AE56" s="212">
        <f t="shared" si="20"/>
        <v>0</v>
      </c>
      <c r="AF56" s="212">
        <f t="shared" si="20"/>
        <v>0</v>
      </c>
      <c r="AG56" s="212">
        <f t="shared" si="20"/>
        <v>0</v>
      </c>
      <c r="AH56" s="190"/>
      <c r="AI56" s="213">
        <f>+SUM(E56:AG56)</f>
        <v>65690.23860460482</v>
      </c>
    </row>
    <row r="57" spans="1:35" ht="14.45" customHeight="1" x14ac:dyDescent="0.25">
      <c r="A57" s="190"/>
      <c r="C57" s="214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</row>
    <row r="58" spans="1:35" ht="14.45" customHeight="1" x14ac:dyDescent="0.25">
      <c r="C58" s="193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190"/>
      <c r="AI58" s="190"/>
    </row>
    <row r="59" spans="1:35" ht="14.45" customHeight="1" x14ac:dyDescent="0.25">
      <c r="A59" s="188" t="s">
        <v>204</v>
      </c>
      <c r="E59" s="216">
        <f t="shared" ref="E59:AG59" si="21">1/(1+$C$3)^E42</f>
        <v>1</v>
      </c>
      <c r="F59" s="216">
        <f t="shared" si="21"/>
        <v>1</v>
      </c>
      <c r="G59" s="216">
        <f t="shared" si="21"/>
        <v>1</v>
      </c>
      <c r="H59" s="216">
        <f t="shared" si="21"/>
        <v>1</v>
      </c>
      <c r="I59" s="216">
        <f t="shared" si="21"/>
        <v>1</v>
      </c>
      <c r="J59" s="216">
        <f t="shared" si="21"/>
        <v>1</v>
      </c>
      <c r="K59" s="216">
        <f t="shared" si="21"/>
        <v>1</v>
      </c>
      <c r="L59" s="216">
        <f t="shared" si="21"/>
        <v>1</v>
      </c>
      <c r="M59" s="216">
        <f t="shared" si="21"/>
        <v>1</v>
      </c>
      <c r="N59" s="216">
        <f t="shared" si="21"/>
        <v>1</v>
      </c>
      <c r="O59" s="216">
        <f t="shared" si="21"/>
        <v>1</v>
      </c>
      <c r="P59" s="216">
        <f t="shared" si="21"/>
        <v>1</v>
      </c>
      <c r="Q59" s="216">
        <f t="shared" si="21"/>
        <v>1</v>
      </c>
      <c r="R59" s="216">
        <f t="shared" si="21"/>
        <v>1</v>
      </c>
      <c r="S59" s="216">
        <f t="shared" si="21"/>
        <v>1</v>
      </c>
      <c r="T59" s="216">
        <f t="shared" si="21"/>
        <v>1</v>
      </c>
      <c r="U59" s="216">
        <f t="shared" si="21"/>
        <v>1</v>
      </c>
      <c r="V59" s="216">
        <f t="shared" si="21"/>
        <v>1</v>
      </c>
      <c r="W59" s="216">
        <f t="shared" si="21"/>
        <v>1</v>
      </c>
      <c r="X59" s="216">
        <f t="shared" si="21"/>
        <v>1</v>
      </c>
      <c r="Y59" s="216">
        <f t="shared" si="21"/>
        <v>1</v>
      </c>
      <c r="Z59" s="216">
        <f t="shared" si="21"/>
        <v>1</v>
      </c>
      <c r="AA59" s="216">
        <f t="shared" si="21"/>
        <v>1</v>
      </c>
      <c r="AB59" s="216">
        <f t="shared" si="21"/>
        <v>1</v>
      </c>
      <c r="AC59" s="216">
        <f t="shared" si="21"/>
        <v>1</v>
      </c>
      <c r="AD59" s="216">
        <f t="shared" si="21"/>
        <v>1</v>
      </c>
      <c r="AE59" s="216">
        <f t="shared" si="21"/>
        <v>1</v>
      </c>
      <c r="AF59" s="216">
        <f t="shared" si="21"/>
        <v>1</v>
      </c>
      <c r="AG59" s="216">
        <f t="shared" si="21"/>
        <v>1</v>
      </c>
      <c r="AH59" s="190"/>
      <c r="AI59" s="190"/>
    </row>
    <row r="60" spans="1:35" ht="14.45" customHeight="1" x14ac:dyDescent="0.25">
      <c r="C60" s="217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190"/>
      <c r="AI60" s="190"/>
    </row>
    <row r="61" spans="1:35" ht="14.45" customHeight="1" x14ac:dyDescent="0.25">
      <c r="A61" s="253" t="s">
        <v>205</v>
      </c>
      <c r="B61" s="253"/>
      <c r="C61" s="188" t="s">
        <v>1</v>
      </c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</row>
    <row r="62" spans="1:35" ht="14.45" customHeight="1" x14ac:dyDescent="0.25">
      <c r="A62" s="249" t="s">
        <v>17</v>
      </c>
      <c r="B62" s="30" t="s">
        <v>202</v>
      </c>
      <c r="C62" s="193"/>
      <c r="E62" s="218">
        <f t="shared" ref="E62:AG62" si="22">+E44*E$22</f>
        <v>34000</v>
      </c>
      <c r="F62" s="219">
        <f t="shared" si="22"/>
        <v>0</v>
      </c>
      <c r="G62" s="219">
        <f t="shared" si="22"/>
        <v>0</v>
      </c>
      <c r="H62" s="219">
        <f t="shared" si="22"/>
        <v>0</v>
      </c>
      <c r="I62" s="219">
        <f t="shared" si="22"/>
        <v>0</v>
      </c>
      <c r="J62" s="219">
        <f t="shared" si="22"/>
        <v>0</v>
      </c>
      <c r="K62" s="219">
        <f t="shared" si="22"/>
        <v>0</v>
      </c>
      <c r="L62" s="219">
        <f t="shared" si="22"/>
        <v>0</v>
      </c>
      <c r="M62" s="219">
        <f t="shared" si="22"/>
        <v>0</v>
      </c>
      <c r="N62" s="219">
        <f t="shared" si="22"/>
        <v>0</v>
      </c>
      <c r="O62" s="219">
        <f t="shared" si="22"/>
        <v>0</v>
      </c>
      <c r="P62" s="219">
        <f t="shared" si="22"/>
        <v>0</v>
      </c>
      <c r="Q62" s="219">
        <f t="shared" si="22"/>
        <v>0</v>
      </c>
      <c r="R62" s="219">
        <f t="shared" si="22"/>
        <v>0</v>
      </c>
      <c r="S62" s="219">
        <f t="shared" si="22"/>
        <v>0</v>
      </c>
      <c r="T62" s="219">
        <f t="shared" si="22"/>
        <v>0</v>
      </c>
      <c r="U62" s="219">
        <f t="shared" si="22"/>
        <v>0</v>
      </c>
      <c r="V62" s="219">
        <f t="shared" si="22"/>
        <v>0</v>
      </c>
      <c r="W62" s="219">
        <f t="shared" si="22"/>
        <v>0</v>
      </c>
      <c r="X62" s="219">
        <f t="shared" si="22"/>
        <v>0</v>
      </c>
      <c r="Y62" s="219">
        <f t="shared" si="22"/>
        <v>0</v>
      </c>
      <c r="Z62" s="219">
        <f t="shared" si="22"/>
        <v>0</v>
      </c>
      <c r="AA62" s="219">
        <f t="shared" si="22"/>
        <v>0</v>
      </c>
      <c r="AB62" s="219">
        <f t="shared" si="22"/>
        <v>0</v>
      </c>
      <c r="AC62" s="219">
        <f t="shared" si="22"/>
        <v>0</v>
      </c>
      <c r="AD62" s="219">
        <f t="shared" si="22"/>
        <v>0</v>
      </c>
      <c r="AE62" s="219">
        <f t="shared" si="22"/>
        <v>0</v>
      </c>
      <c r="AF62" s="219">
        <f t="shared" si="22"/>
        <v>0</v>
      </c>
      <c r="AG62" s="220">
        <f t="shared" si="22"/>
        <v>0</v>
      </c>
      <c r="AH62" s="190"/>
      <c r="AI62" s="221">
        <f t="shared" ref="AI62:AI73" si="23">+SUM(E62:AG62)</f>
        <v>34000</v>
      </c>
    </row>
    <row r="63" spans="1:35" ht="14.45" customHeight="1" x14ac:dyDescent="0.25">
      <c r="A63" s="250"/>
      <c r="B63" s="125" t="s">
        <v>64</v>
      </c>
      <c r="C63" s="193"/>
      <c r="E63" s="222">
        <f t="shared" ref="E63:AG63" si="24">+E45*E$22</f>
        <v>2000</v>
      </c>
      <c r="F63" s="223">
        <f t="shared" si="24"/>
        <v>0</v>
      </c>
      <c r="G63" s="223">
        <f t="shared" si="24"/>
        <v>0</v>
      </c>
      <c r="H63" s="223">
        <f t="shared" si="24"/>
        <v>0</v>
      </c>
      <c r="I63" s="223">
        <f t="shared" si="24"/>
        <v>0</v>
      </c>
      <c r="J63" s="223">
        <f t="shared" si="24"/>
        <v>0</v>
      </c>
      <c r="K63" s="223">
        <f t="shared" si="24"/>
        <v>0</v>
      </c>
      <c r="L63" s="223">
        <f t="shared" si="24"/>
        <v>0</v>
      </c>
      <c r="M63" s="223">
        <f t="shared" si="24"/>
        <v>0</v>
      </c>
      <c r="N63" s="223">
        <f t="shared" si="24"/>
        <v>0</v>
      </c>
      <c r="O63" s="223">
        <f t="shared" si="24"/>
        <v>0</v>
      </c>
      <c r="P63" s="223">
        <f t="shared" si="24"/>
        <v>0</v>
      </c>
      <c r="Q63" s="223">
        <f t="shared" si="24"/>
        <v>0</v>
      </c>
      <c r="R63" s="223">
        <f t="shared" si="24"/>
        <v>0</v>
      </c>
      <c r="S63" s="223">
        <f t="shared" si="24"/>
        <v>0</v>
      </c>
      <c r="T63" s="223">
        <f t="shared" si="24"/>
        <v>0</v>
      </c>
      <c r="U63" s="223">
        <f t="shared" si="24"/>
        <v>0</v>
      </c>
      <c r="V63" s="223">
        <f t="shared" si="24"/>
        <v>0</v>
      </c>
      <c r="W63" s="223">
        <f t="shared" si="24"/>
        <v>0</v>
      </c>
      <c r="X63" s="223">
        <f t="shared" si="24"/>
        <v>0</v>
      </c>
      <c r="Y63" s="223">
        <f t="shared" si="24"/>
        <v>0</v>
      </c>
      <c r="Z63" s="223">
        <f t="shared" si="24"/>
        <v>0</v>
      </c>
      <c r="AA63" s="223">
        <f t="shared" si="24"/>
        <v>0</v>
      </c>
      <c r="AB63" s="223">
        <f t="shared" si="24"/>
        <v>0</v>
      </c>
      <c r="AC63" s="223">
        <f t="shared" si="24"/>
        <v>0</v>
      </c>
      <c r="AD63" s="223">
        <f t="shared" si="24"/>
        <v>0</v>
      </c>
      <c r="AE63" s="223">
        <f t="shared" si="24"/>
        <v>0</v>
      </c>
      <c r="AF63" s="223">
        <f t="shared" si="24"/>
        <v>0</v>
      </c>
      <c r="AG63" s="224">
        <f t="shared" si="24"/>
        <v>0</v>
      </c>
      <c r="AH63" s="190"/>
      <c r="AI63" s="225">
        <f t="shared" si="23"/>
        <v>2000</v>
      </c>
    </row>
    <row r="64" spans="1:35" ht="14.45" customHeight="1" x14ac:dyDescent="0.25">
      <c r="A64" s="249" t="s">
        <v>18</v>
      </c>
      <c r="B64" s="30" t="s">
        <v>92</v>
      </c>
      <c r="C64" s="193"/>
      <c r="E64" s="218">
        <f t="shared" ref="E64:AG64" si="25">+E46*E$22</f>
        <v>0</v>
      </c>
      <c r="F64" s="219">
        <f t="shared" si="25"/>
        <v>0</v>
      </c>
      <c r="G64" s="219">
        <f t="shared" si="25"/>
        <v>0</v>
      </c>
      <c r="H64" s="219">
        <f t="shared" si="25"/>
        <v>0</v>
      </c>
      <c r="I64" s="219">
        <f t="shared" si="25"/>
        <v>0</v>
      </c>
      <c r="J64" s="219">
        <f t="shared" si="25"/>
        <v>0</v>
      </c>
      <c r="K64" s="219">
        <f t="shared" si="25"/>
        <v>0</v>
      </c>
      <c r="L64" s="219">
        <f t="shared" si="25"/>
        <v>0</v>
      </c>
      <c r="M64" s="219">
        <f t="shared" si="25"/>
        <v>0</v>
      </c>
      <c r="N64" s="219">
        <f t="shared" si="25"/>
        <v>0</v>
      </c>
      <c r="O64" s="219">
        <f t="shared" si="25"/>
        <v>0</v>
      </c>
      <c r="P64" s="219">
        <f t="shared" si="25"/>
        <v>0</v>
      </c>
      <c r="Q64" s="219">
        <f t="shared" si="25"/>
        <v>0</v>
      </c>
      <c r="R64" s="219">
        <f t="shared" si="25"/>
        <v>0</v>
      </c>
      <c r="S64" s="219">
        <f t="shared" si="25"/>
        <v>0</v>
      </c>
      <c r="T64" s="219">
        <f t="shared" si="25"/>
        <v>0</v>
      </c>
      <c r="U64" s="219">
        <f t="shared" si="25"/>
        <v>0</v>
      </c>
      <c r="V64" s="219">
        <f t="shared" si="25"/>
        <v>0</v>
      </c>
      <c r="W64" s="219">
        <f t="shared" si="25"/>
        <v>0</v>
      </c>
      <c r="X64" s="219">
        <f t="shared" si="25"/>
        <v>0</v>
      </c>
      <c r="Y64" s="219">
        <f t="shared" si="25"/>
        <v>0</v>
      </c>
      <c r="Z64" s="219">
        <f t="shared" si="25"/>
        <v>0</v>
      </c>
      <c r="AA64" s="219">
        <f t="shared" si="25"/>
        <v>0</v>
      </c>
      <c r="AB64" s="219">
        <f t="shared" si="25"/>
        <v>0</v>
      </c>
      <c r="AC64" s="219">
        <f t="shared" si="25"/>
        <v>0</v>
      </c>
      <c r="AD64" s="219">
        <f t="shared" si="25"/>
        <v>0</v>
      </c>
      <c r="AE64" s="219">
        <f t="shared" si="25"/>
        <v>0</v>
      </c>
      <c r="AF64" s="219">
        <f t="shared" si="25"/>
        <v>0</v>
      </c>
      <c r="AG64" s="220">
        <f t="shared" si="25"/>
        <v>0</v>
      </c>
      <c r="AH64" s="190"/>
      <c r="AI64" s="225">
        <f t="shared" si="23"/>
        <v>0</v>
      </c>
    </row>
    <row r="65" spans="1:35" ht="14.45" customHeight="1" x14ac:dyDescent="0.25">
      <c r="A65" s="251"/>
      <c r="B65" s="125" t="s">
        <v>37</v>
      </c>
      <c r="C65" s="193"/>
      <c r="E65" s="226">
        <f t="shared" ref="E65:AG65" si="26">+E47*E$22</f>
        <v>1700</v>
      </c>
      <c r="F65" s="227">
        <f t="shared" si="26"/>
        <v>0</v>
      </c>
      <c r="G65" s="227">
        <f t="shared" si="26"/>
        <v>0</v>
      </c>
      <c r="H65" s="227">
        <f t="shared" si="26"/>
        <v>0</v>
      </c>
      <c r="I65" s="227">
        <f t="shared" si="26"/>
        <v>0</v>
      </c>
      <c r="J65" s="227">
        <f t="shared" si="26"/>
        <v>0</v>
      </c>
      <c r="K65" s="227">
        <f t="shared" si="26"/>
        <v>0</v>
      </c>
      <c r="L65" s="227">
        <f t="shared" si="26"/>
        <v>0</v>
      </c>
      <c r="M65" s="227">
        <f t="shared" si="26"/>
        <v>0</v>
      </c>
      <c r="N65" s="227">
        <f t="shared" si="26"/>
        <v>0</v>
      </c>
      <c r="O65" s="227">
        <f t="shared" si="26"/>
        <v>0</v>
      </c>
      <c r="P65" s="227">
        <f t="shared" si="26"/>
        <v>0</v>
      </c>
      <c r="Q65" s="227">
        <f t="shared" si="26"/>
        <v>0</v>
      </c>
      <c r="R65" s="227">
        <f t="shared" si="26"/>
        <v>0</v>
      </c>
      <c r="S65" s="227">
        <f t="shared" si="26"/>
        <v>0</v>
      </c>
      <c r="T65" s="227">
        <f t="shared" si="26"/>
        <v>0</v>
      </c>
      <c r="U65" s="227">
        <f t="shared" si="26"/>
        <v>0</v>
      </c>
      <c r="V65" s="227">
        <f t="shared" si="26"/>
        <v>0</v>
      </c>
      <c r="W65" s="227">
        <f t="shared" si="26"/>
        <v>0</v>
      </c>
      <c r="X65" s="227">
        <f t="shared" si="26"/>
        <v>0</v>
      </c>
      <c r="Y65" s="227">
        <f t="shared" si="26"/>
        <v>0</v>
      </c>
      <c r="Z65" s="227">
        <f t="shared" si="26"/>
        <v>0</v>
      </c>
      <c r="AA65" s="227">
        <f t="shared" si="26"/>
        <v>0</v>
      </c>
      <c r="AB65" s="227">
        <f t="shared" si="26"/>
        <v>0</v>
      </c>
      <c r="AC65" s="227">
        <f t="shared" si="26"/>
        <v>0</v>
      </c>
      <c r="AD65" s="227">
        <f t="shared" si="26"/>
        <v>0</v>
      </c>
      <c r="AE65" s="227">
        <f t="shared" si="26"/>
        <v>0</v>
      </c>
      <c r="AF65" s="227">
        <f t="shared" si="26"/>
        <v>0</v>
      </c>
      <c r="AG65" s="228">
        <f t="shared" si="26"/>
        <v>0</v>
      </c>
      <c r="AH65" s="190"/>
      <c r="AI65" s="225">
        <f t="shared" si="23"/>
        <v>1700</v>
      </c>
    </row>
    <row r="66" spans="1:35" ht="14.45" customHeight="1" x14ac:dyDescent="0.25">
      <c r="A66" s="251"/>
      <c r="B66" s="125" t="s">
        <v>93</v>
      </c>
      <c r="C66" s="193"/>
      <c r="E66" s="226">
        <f t="shared" ref="E66:AG66" si="27">+E48*E$22</f>
        <v>0</v>
      </c>
      <c r="F66" s="227">
        <f t="shared" si="27"/>
        <v>0</v>
      </c>
      <c r="G66" s="227">
        <f t="shared" si="27"/>
        <v>0</v>
      </c>
      <c r="H66" s="227">
        <f t="shared" si="27"/>
        <v>0</v>
      </c>
      <c r="I66" s="227">
        <f t="shared" si="27"/>
        <v>0</v>
      </c>
      <c r="J66" s="227">
        <f t="shared" si="27"/>
        <v>0</v>
      </c>
      <c r="K66" s="227">
        <f t="shared" si="27"/>
        <v>0</v>
      </c>
      <c r="L66" s="227">
        <f t="shared" si="27"/>
        <v>0</v>
      </c>
      <c r="M66" s="227">
        <f t="shared" si="27"/>
        <v>0</v>
      </c>
      <c r="N66" s="227">
        <f t="shared" si="27"/>
        <v>0</v>
      </c>
      <c r="O66" s="227">
        <f t="shared" si="27"/>
        <v>0</v>
      </c>
      <c r="P66" s="227">
        <f t="shared" si="27"/>
        <v>0</v>
      </c>
      <c r="Q66" s="227">
        <f t="shared" si="27"/>
        <v>0</v>
      </c>
      <c r="R66" s="227">
        <f t="shared" si="27"/>
        <v>0</v>
      </c>
      <c r="S66" s="227">
        <f t="shared" si="27"/>
        <v>0</v>
      </c>
      <c r="T66" s="227">
        <f t="shared" si="27"/>
        <v>0</v>
      </c>
      <c r="U66" s="227">
        <f t="shared" si="27"/>
        <v>0</v>
      </c>
      <c r="V66" s="227">
        <f t="shared" si="27"/>
        <v>0</v>
      </c>
      <c r="W66" s="227">
        <f t="shared" si="27"/>
        <v>0</v>
      </c>
      <c r="X66" s="227">
        <f t="shared" si="27"/>
        <v>0</v>
      </c>
      <c r="Y66" s="227">
        <f t="shared" si="27"/>
        <v>0</v>
      </c>
      <c r="Z66" s="227">
        <f t="shared" si="27"/>
        <v>0</v>
      </c>
      <c r="AA66" s="227">
        <f t="shared" si="27"/>
        <v>0</v>
      </c>
      <c r="AB66" s="227">
        <f t="shared" si="27"/>
        <v>0</v>
      </c>
      <c r="AC66" s="227">
        <f t="shared" si="27"/>
        <v>0</v>
      </c>
      <c r="AD66" s="227">
        <f t="shared" si="27"/>
        <v>0</v>
      </c>
      <c r="AE66" s="227">
        <f t="shared" si="27"/>
        <v>0</v>
      </c>
      <c r="AF66" s="227">
        <f t="shared" si="27"/>
        <v>0</v>
      </c>
      <c r="AG66" s="228">
        <f t="shared" si="27"/>
        <v>0</v>
      </c>
      <c r="AH66" s="190"/>
      <c r="AI66" s="229">
        <f t="shared" si="23"/>
        <v>0</v>
      </c>
    </row>
    <row r="67" spans="1:35" ht="14.45" customHeight="1" x14ac:dyDescent="0.25">
      <c r="A67" s="251"/>
      <c r="B67" s="125" t="s">
        <v>36</v>
      </c>
      <c r="C67" s="193"/>
      <c r="E67" s="226">
        <f t="shared" ref="E67:AG67" si="28">+E49*E$22</f>
        <v>7480</v>
      </c>
      <c r="F67" s="227">
        <f t="shared" si="28"/>
        <v>0</v>
      </c>
      <c r="G67" s="227">
        <f t="shared" si="28"/>
        <v>0</v>
      </c>
      <c r="H67" s="227">
        <f t="shared" si="28"/>
        <v>0</v>
      </c>
      <c r="I67" s="227">
        <f t="shared" si="28"/>
        <v>0</v>
      </c>
      <c r="J67" s="227">
        <f t="shared" si="28"/>
        <v>0</v>
      </c>
      <c r="K67" s="227">
        <f t="shared" si="28"/>
        <v>0</v>
      </c>
      <c r="L67" s="227">
        <f t="shared" si="28"/>
        <v>0</v>
      </c>
      <c r="M67" s="227">
        <f t="shared" si="28"/>
        <v>0</v>
      </c>
      <c r="N67" s="227">
        <f t="shared" si="28"/>
        <v>0</v>
      </c>
      <c r="O67" s="227">
        <f t="shared" si="28"/>
        <v>0</v>
      </c>
      <c r="P67" s="227">
        <f t="shared" si="28"/>
        <v>0</v>
      </c>
      <c r="Q67" s="227">
        <f t="shared" si="28"/>
        <v>0</v>
      </c>
      <c r="R67" s="227">
        <f t="shared" si="28"/>
        <v>0</v>
      </c>
      <c r="S67" s="227">
        <f t="shared" si="28"/>
        <v>0</v>
      </c>
      <c r="T67" s="227">
        <f t="shared" si="28"/>
        <v>0</v>
      </c>
      <c r="U67" s="227">
        <f t="shared" si="28"/>
        <v>0</v>
      </c>
      <c r="V67" s="227">
        <f t="shared" si="28"/>
        <v>0</v>
      </c>
      <c r="W67" s="227">
        <f t="shared" si="28"/>
        <v>0</v>
      </c>
      <c r="X67" s="227">
        <f t="shared" si="28"/>
        <v>0</v>
      </c>
      <c r="Y67" s="227">
        <f t="shared" si="28"/>
        <v>0</v>
      </c>
      <c r="Z67" s="227">
        <f t="shared" si="28"/>
        <v>0</v>
      </c>
      <c r="AA67" s="227">
        <f t="shared" si="28"/>
        <v>0</v>
      </c>
      <c r="AB67" s="227">
        <f t="shared" si="28"/>
        <v>0</v>
      </c>
      <c r="AC67" s="227">
        <f t="shared" si="28"/>
        <v>0</v>
      </c>
      <c r="AD67" s="227">
        <f t="shared" si="28"/>
        <v>0</v>
      </c>
      <c r="AE67" s="227">
        <f t="shared" si="28"/>
        <v>0</v>
      </c>
      <c r="AF67" s="227">
        <f t="shared" si="28"/>
        <v>0</v>
      </c>
      <c r="AG67" s="228">
        <f t="shared" si="28"/>
        <v>0</v>
      </c>
      <c r="AH67" s="190"/>
      <c r="AI67" s="221">
        <f t="shared" si="23"/>
        <v>7480</v>
      </c>
    </row>
    <row r="68" spans="1:35" ht="14.45" customHeight="1" x14ac:dyDescent="0.25">
      <c r="A68" s="251"/>
      <c r="B68" s="125" t="s">
        <v>203</v>
      </c>
      <c r="C68" s="193"/>
      <c r="E68" s="226">
        <f t="shared" ref="E68:AG68" si="29">+E50*E$22</f>
        <v>0</v>
      </c>
      <c r="F68" s="227">
        <f t="shared" si="29"/>
        <v>0</v>
      </c>
      <c r="G68" s="227">
        <f t="shared" si="29"/>
        <v>0</v>
      </c>
      <c r="H68" s="227">
        <f t="shared" si="29"/>
        <v>0</v>
      </c>
      <c r="I68" s="227">
        <f t="shared" si="29"/>
        <v>0</v>
      </c>
      <c r="J68" s="227">
        <f t="shared" si="29"/>
        <v>0</v>
      </c>
      <c r="K68" s="227">
        <f t="shared" si="29"/>
        <v>0</v>
      </c>
      <c r="L68" s="227">
        <f t="shared" si="29"/>
        <v>0</v>
      </c>
      <c r="M68" s="227">
        <f t="shared" si="29"/>
        <v>0</v>
      </c>
      <c r="N68" s="227">
        <f t="shared" si="29"/>
        <v>0</v>
      </c>
      <c r="O68" s="227">
        <f t="shared" si="29"/>
        <v>0</v>
      </c>
      <c r="P68" s="227">
        <f t="shared" si="29"/>
        <v>0</v>
      </c>
      <c r="Q68" s="227">
        <f t="shared" si="29"/>
        <v>0</v>
      </c>
      <c r="R68" s="227">
        <f t="shared" si="29"/>
        <v>0</v>
      </c>
      <c r="S68" s="227">
        <f t="shared" si="29"/>
        <v>0</v>
      </c>
      <c r="T68" s="227">
        <f t="shared" si="29"/>
        <v>0</v>
      </c>
      <c r="U68" s="227">
        <f t="shared" si="29"/>
        <v>0</v>
      </c>
      <c r="V68" s="227">
        <f t="shared" si="29"/>
        <v>0</v>
      </c>
      <c r="W68" s="227">
        <f t="shared" si="29"/>
        <v>0</v>
      </c>
      <c r="X68" s="227">
        <f t="shared" si="29"/>
        <v>0</v>
      </c>
      <c r="Y68" s="227">
        <f t="shared" si="29"/>
        <v>0</v>
      </c>
      <c r="Z68" s="227">
        <f t="shared" si="29"/>
        <v>0</v>
      </c>
      <c r="AA68" s="227">
        <f t="shared" si="29"/>
        <v>0</v>
      </c>
      <c r="AB68" s="227">
        <f t="shared" si="29"/>
        <v>0</v>
      </c>
      <c r="AC68" s="227">
        <f t="shared" si="29"/>
        <v>0</v>
      </c>
      <c r="AD68" s="227">
        <f t="shared" si="29"/>
        <v>0</v>
      </c>
      <c r="AE68" s="227">
        <f t="shared" si="29"/>
        <v>0</v>
      </c>
      <c r="AF68" s="227">
        <f t="shared" si="29"/>
        <v>0</v>
      </c>
      <c r="AG68" s="228">
        <f t="shared" si="29"/>
        <v>0</v>
      </c>
      <c r="AH68" s="190"/>
      <c r="AI68" s="225">
        <f t="shared" si="23"/>
        <v>0</v>
      </c>
    </row>
    <row r="69" spans="1:35" ht="14.45" customHeight="1" x14ac:dyDescent="0.25">
      <c r="A69" s="251"/>
      <c r="B69" s="125" t="s">
        <v>144</v>
      </c>
      <c r="C69" s="217"/>
      <c r="E69" s="226">
        <f t="shared" ref="E69:AG69" si="30">+E51*E$22</f>
        <v>765</v>
      </c>
      <c r="F69" s="227">
        <f t="shared" si="30"/>
        <v>765</v>
      </c>
      <c r="G69" s="227">
        <f t="shared" si="30"/>
        <v>765</v>
      </c>
      <c r="H69" s="227">
        <f t="shared" si="30"/>
        <v>765</v>
      </c>
      <c r="I69" s="227">
        <f t="shared" si="30"/>
        <v>765</v>
      </c>
      <c r="J69" s="227">
        <f t="shared" si="30"/>
        <v>765</v>
      </c>
      <c r="K69" s="227">
        <f t="shared" si="30"/>
        <v>765</v>
      </c>
      <c r="L69" s="227">
        <f t="shared" si="30"/>
        <v>765</v>
      </c>
      <c r="M69" s="227">
        <f t="shared" si="30"/>
        <v>0</v>
      </c>
      <c r="N69" s="227">
        <f t="shared" si="30"/>
        <v>0</v>
      </c>
      <c r="O69" s="227">
        <f t="shared" si="30"/>
        <v>0</v>
      </c>
      <c r="P69" s="227">
        <f t="shared" si="30"/>
        <v>0</v>
      </c>
      <c r="Q69" s="227">
        <f t="shared" si="30"/>
        <v>0</v>
      </c>
      <c r="R69" s="227">
        <f t="shared" si="30"/>
        <v>0</v>
      </c>
      <c r="S69" s="227">
        <f t="shared" si="30"/>
        <v>0</v>
      </c>
      <c r="T69" s="227">
        <f t="shared" si="30"/>
        <v>0</v>
      </c>
      <c r="U69" s="227">
        <f t="shared" si="30"/>
        <v>0</v>
      </c>
      <c r="V69" s="227">
        <f t="shared" si="30"/>
        <v>0</v>
      </c>
      <c r="W69" s="227">
        <f t="shared" si="30"/>
        <v>0</v>
      </c>
      <c r="X69" s="227">
        <f t="shared" si="30"/>
        <v>0</v>
      </c>
      <c r="Y69" s="227">
        <f t="shared" si="30"/>
        <v>0</v>
      </c>
      <c r="Z69" s="227">
        <f t="shared" si="30"/>
        <v>0</v>
      </c>
      <c r="AA69" s="227">
        <f t="shared" si="30"/>
        <v>0</v>
      </c>
      <c r="AB69" s="227">
        <f t="shared" si="30"/>
        <v>0</v>
      </c>
      <c r="AC69" s="227">
        <f t="shared" si="30"/>
        <v>0</v>
      </c>
      <c r="AD69" s="227">
        <f t="shared" si="30"/>
        <v>0</v>
      </c>
      <c r="AE69" s="227">
        <f t="shared" si="30"/>
        <v>0</v>
      </c>
      <c r="AF69" s="227">
        <f t="shared" si="30"/>
        <v>0</v>
      </c>
      <c r="AG69" s="228">
        <f t="shared" si="30"/>
        <v>0</v>
      </c>
      <c r="AH69" s="190"/>
      <c r="AI69" s="225">
        <f t="shared" si="23"/>
        <v>6120</v>
      </c>
    </row>
    <row r="70" spans="1:35" ht="14.45" customHeight="1" x14ac:dyDescent="0.25">
      <c r="A70" s="251"/>
      <c r="B70" s="31" t="s">
        <v>125</v>
      </c>
      <c r="C70" s="217"/>
      <c r="E70" s="222">
        <f t="shared" ref="E70:AG70" si="31">+E52*E$22</f>
        <v>1768.2209999999998</v>
      </c>
      <c r="F70" s="223">
        <f t="shared" si="31"/>
        <v>1453.6040968261239</v>
      </c>
      <c r="G70" s="223">
        <f t="shared" si="31"/>
        <v>1120.5821048165758</v>
      </c>
      <c r="H70" s="223">
        <f t="shared" si="31"/>
        <v>768.07832627446885</v>
      </c>
      <c r="I70" s="223">
        <f t="shared" si="31"/>
        <v>394.95307668764895</v>
      </c>
      <c r="J70" s="223">
        <f t="shared" si="31"/>
        <v>0</v>
      </c>
      <c r="K70" s="223">
        <f t="shared" si="31"/>
        <v>0</v>
      </c>
      <c r="L70" s="223">
        <f t="shared" si="31"/>
        <v>0</v>
      </c>
      <c r="M70" s="223">
        <f t="shared" si="31"/>
        <v>0</v>
      </c>
      <c r="N70" s="223">
        <f t="shared" si="31"/>
        <v>0</v>
      </c>
      <c r="O70" s="223">
        <f t="shared" si="31"/>
        <v>0</v>
      </c>
      <c r="P70" s="223">
        <f t="shared" si="31"/>
        <v>0</v>
      </c>
      <c r="Q70" s="223">
        <f t="shared" si="31"/>
        <v>0</v>
      </c>
      <c r="R70" s="223">
        <f t="shared" si="31"/>
        <v>0</v>
      </c>
      <c r="S70" s="223">
        <f t="shared" si="31"/>
        <v>0</v>
      </c>
      <c r="T70" s="223">
        <f t="shared" si="31"/>
        <v>0</v>
      </c>
      <c r="U70" s="223">
        <f t="shared" si="31"/>
        <v>0</v>
      </c>
      <c r="V70" s="223">
        <f t="shared" si="31"/>
        <v>0</v>
      </c>
      <c r="W70" s="223">
        <f t="shared" si="31"/>
        <v>0</v>
      </c>
      <c r="X70" s="223">
        <f t="shared" si="31"/>
        <v>0</v>
      </c>
      <c r="Y70" s="223">
        <f t="shared" si="31"/>
        <v>0</v>
      </c>
      <c r="Z70" s="223">
        <f t="shared" si="31"/>
        <v>0</v>
      </c>
      <c r="AA70" s="223">
        <f t="shared" si="31"/>
        <v>0</v>
      </c>
      <c r="AB70" s="223">
        <f t="shared" si="31"/>
        <v>0</v>
      </c>
      <c r="AC70" s="223">
        <f t="shared" si="31"/>
        <v>0</v>
      </c>
      <c r="AD70" s="223">
        <f t="shared" si="31"/>
        <v>0</v>
      </c>
      <c r="AE70" s="223">
        <f t="shared" si="31"/>
        <v>0</v>
      </c>
      <c r="AF70" s="223">
        <f t="shared" si="31"/>
        <v>0</v>
      </c>
      <c r="AG70" s="224">
        <f t="shared" si="31"/>
        <v>0</v>
      </c>
      <c r="AH70" s="190"/>
      <c r="AI70" s="225">
        <f t="shared" si="23"/>
        <v>5505.4386046048176</v>
      </c>
    </row>
    <row r="71" spans="1:35" ht="14.45" customHeight="1" x14ac:dyDescent="0.25">
      <c r="A71" s="249" t="s">
        <v>19</v>
      </c>
      <c r="B71" s="125" t="s">
        <v>53</v>
      </c>
      <c r="C71" s="217"/>
      <c r="E71" s="218">
        <f t="shared" ref="E71:AG71" si="32">+E53*E$22</f>
        <v>600</v>
      </c>
      <c r="F71" s="219">
        <f t="shared" si="32"/>
        <v>600</v>
      </c>
      <c r="G71" s="219">
        <f t="shared" si="32"/>
        <v>600</v>
      </c>
      <c r="H71" s="219">
        <f t="shared" si="32"/>
        <v>600</v>
      </c>
      <c r="I71" s="219">
        <f t="shared" si="32"/>
        <v>600</v>
      </c>
      <c r="J71" s="219">
        <f t="shared" si="32"/>
        <v>600</v>
      </c>
      <c r="K71" s="219">
        <f t="shared" si="32"/>
        <v>600</v>
      </c>
      <c r="L71" s="219">
        <f t="shared" si="32"/>
        <v>600</v>
      </c>
      <c r="M71" s="219">
        <f t="shared" si="32"/>
        <v>0</v>
      </c>
      <c r="N71" s="219">
        <f t="shared" si="32"/>
        <v>0</v>
      </c>
      <c r="O71" s="219">
        <f t="shared" si="32"/>
        <v>0</v>
      </c>
      <c r="P71" s="219">
        <f t="shared" si="32"/>
        <v>0</v>
      </c>
      <c r="Q71" s="219">
        <f t="shared" si="32"/>
        <v>0</v>
      </c>
      <c r="R71" s="219">
        <f t="shared" si="32"/>
        <v>0</v>
      </c>
      <c r="S71" s="219">
        <f t="shared" si="32"/>
        <v>0</v>
      </c>
      <c r="T71" s="219">
        <f t="shared" si="32"/>
        <v>0</v>
      </c>
      <c r="U71" s="219">
        <f t="shared" si="32"/>
        <v>0</v>
      </c>
      <c r="V71" s="219">
        <f t="shared" si="32"/>
        <v>0</v>
      </c>
      <c r="W71" s="219">
        <f t="shared" si="32"/>
        <v>0</v>
      </c>
      <c r="X71" s="219">
        <f t="shared" si="32"/>
        <v>0</v>
      </c>
      <c r="Y71" s="219">
        <f t="shared" si="32"/>
        <v>0</v>
      </c>
      <c r="Z71" s="219">
        <f t="shared" si="32"/>
        <v>0</v>
      </c>
      <c r="AA71" s="219">
        <f t="shared" si="32"/>
        <v>0</v>
      </c>
      <c r="AB71" s="219">
        <f t="shared" si="32"/>
        <v>0</v>
      </c>
      <c r="AC71" s="219">
        <f t="shared" si="32"/>
        <v>0</v>
      </c>
      <c r="AD71" s="219">
        <f t="shared" si="32"/>
        <v>0</v>
      </c>
      <c r="AE71" s="219">
        <f t="shared" si="32"/>
        <v>0</v>
      </c>
      <c r="AF71" s="219">
        <f t="shared" si="32"/>
        <v>0</v>
      </c>
      <c r="AG71" s="220">
        <f t="shared" si="32"/>
        <v>0</v>
      </c>
      <c r="AH71" s="190"/>
      <c r="AI71" s="229">
        <f t="shared" si="23"/>
        <v>4800</v>
      </c>
    </row>
    <row r="72" spans="1:35" ht="14.45" customHeight="1" x14ac:dyDescent="0.25">
      <c r="A72" s="250"/>
      <c r="B72" s="31" t="s">
        <v>126</v>
      </c>
      <c r="C72" s="217"/>
      <c r="E72" s="222">
        <f t="shared" ref="E72:AG72" si="33">+E54*E$22</f>
        <v>503.976</v>
      </c>
      <c r="F72" s="223">
        <f t="shared" si="33"/>
        <v>503.976</v>
      </c>
      <c r="G72" s="223">
        <f t="shared" si="33"/>
        <v>503.976</v>
      </c>
      <c r="H72" s="223">
        <f t="shared" si="33"/>
        <v>503.976</v>
      </c>
      <c r="I72" s="223">
        <f t="shared" si="33"/>
        <v>503.976</v>
      </c>
      <c r="J72" s="223">
        <f t="shared" si="33"/>
        <v>503.976</v>
      </c>
      <c r="K72" s="223">
        <f t="shared" si="33"/>
        <v>503.976</v>
      </c>
      <c r="L72" s="223">
        <f t="shared" si="33"/>
        <v>503.976</v>
      </c>
      <c r="M72" s="223">
        <f t="shared" si="33"/>
        <v>0</v>
      </c>
      <c r="N72" s="223">
        <f t="shared" si="33"/>
        <v>0</v>
      </c>
      <c r="O72" s="223">
        <f t="shared" si="33"/>
        <v>0</v>
      </c>
      <c r="P72" s="223">
        <f t="shared" si="33"/>
        <v>0</v>
      </c>
      <c r="Q72" s="223">
        <f t="shared" si="33"/>
        <v>0</v>
      </c>
      <c r="R72" s="223">
        <f t="shared" si="33"/>
        <v>0</v>
      </c>
      <c r="S72" s="223">
        <f t="shared" si="33"/>
        <v>0</v>
      </c>
      <c r="T72" s="223">
        <f t="shared" si="33"/>
        <v>0</v>
      </c>
      <c r="U72" s="223">
        <f t="shared" si="33"/>
        <v>0</v>
      </c>
      <c r="V72" s="223">
        <f t="shared" si="33"/>
        <v>0</v>
      </c>
      <c r="W72" s="223">
        <f t="shared" si="33"/>
        <v>0</v>
      </c>
      <c r="X72" s="223">
        <f t="shared" si="33"/>
        <v>0</v>
      </c>
      <c r="Y72" s="223">
        <f t="shared" si="33"/>
        <v>0</v>
      </c>
      <c r="Z72" s="223">
        <f t="shared" si="33"/>
        <v>0</v>
      </c>
      <c r="AA72" s="223">
        <f t="shared" si="33"/>
        <v>0</v>
      </c>
      <c r="AB72" s="223">
        <f t="shared" si="33"/>
        <v>0</v>
      </c>
      <c r="AC72" s="223">
        <f t="shared" si="33"/>
        <v>0</v>
      </c>
      <c r="AD72" s="223">
        <f t="shared" si="33"/>
        <v>0</v>
      </c>
      <c r="AE72" s="223">
        <f t="shared" si="33"/>
        <v>0</v>
      </c>
      <c r="AF72" s="223">
        <f t="shared" si="33"/>
        <v>0</v>
      </c>
      <c r="AG72" s="224">
        <f t="shared" si="33"/>
        <v>0</v>
      </c>
      <c r="AH72" s="190"/>
      <c r="AI72" s="221">
        <f t="shared" si="23"/>
        <v>4031.8080000000004</v>
      </c>
    </row>
    <row r="73" spans="1:35" ht="14.45" customHeight="1" x14ac:dyDescent="0.25">
      <c r="A73" s="72" t="s">
        <v>145</v>
      </c>
      <c r="B73" s="73" t="s">
        <v>128</v>
      </c>
      <c r="E73" s="230">
        <f>+E55*E$22</f>
        <v>6.6240000000000006</v>
      </c>
      <c r="F73" s="231">
        <f t="shared" ref="F73:AG73" si="34">+F55*F$22</f>
        <v>6.6240000000000006</v>
      </c>
      <c r="G73" s="231">
        <f t="shared" si="34"/>
        <v>6.6240000000000006</v>
      </c>
      <c r="H73" s="231">
        <f t="shared" si="34"/>
        <v>6.6240000000000006</v>
      </c>
      <c r="I73" s="231">
        <f t="shared" si="34"/>
        <v>6.6240000000000006</v>
      </c>
      <c r="J73" s="231">
        <f t="shared" si="34"/>
        <v>6.6240000000000006</v>
      </c>
      <c r="K73" s="231">
        <f t="shared" si="34"/>
        <v>6.6240000000000006</v>
      </c>
      <c r="L73" s="231">
        <f t="shared" si="34"/>
        <v>6.6240000000000006</v>
      </c>
      <c r="M73" s="231">
        <f t="shared" si="34"/>
        <v>0</v>
      </c>
      <c r="N73" s="231">
        <f t="shared" si="34"/>
        <v>0</v>
      </c>
      <c r="O73" s="231">
        <f t="shared" si="34"/>
        <v>0</v>
      </c>
      <c r="P73" s="231">
        <f t="shared" si="34"/>
        <v>0</v>
      </c>
      <c r="Q73" s="231">
        <f t="shared" si="34"/>
        <v>0</v>
      </c>
      <c r="R73" s="231">
        <f t="shared" si="34"/>
        <v>0</v>
      </c>
      <c r="S73" s="231">
        <f t="shared" si="34"/>
        <v>0</v>
      </c>
      <c r="T73" s="231">
        <f t="shared" si="34"/>
        <v>0</v>
      </c>
      <c r="U73" s="231">
        <f t="shared" si="34"/>
        <v>0</v>
      </c>
      <c r="V73" s="231">
        <f t="shared" si="34"/>
        <v>0</v>
      </c>
      <c r="W73" s="231">
        <f t="shared" si="34"/>
        <v>0</v>
      </c>
      <c r="X73" s="231">
        <f t="shared" si="34"/>
        <v>0</v>
      </c>
      <c r="Y73" s="231">
        <f t="shared" si="34"/>
        <v>0</v>
      </c>
      <c r="Z73" s="231">
        <f t="shared" si="34"/>
        <v>0</v>
      </c>
      <c r="AA73" s="231">
        <f t="shared" si="34"/>
        <v>0</v>
      </c>
      <c r="AB73" s="231">
        <f t="shared" si="34"/>
        <v>0</v>
      </c>
      <c r="AC73" s="231">
        <f t="shared" si="34"/>
        <v>0</v>
      </c>
      <c r="AD73" s="231">
        <f t="shared" si="34"/>
        <v>0</v>
      </c>
      <c r="AE73" s="231">
        <f t="shared" si="34"/>
        <v>0</v>
      </c>
      <c r="AF73" s="231">
        <f t="shared" si="34"/>
        <v>0</v>
      </c>
      <c r="AG73" s="232">
        <f t="shared" si="34"/>
        <v>0</v>
      </c>
      <c r="AI73" s="229">
        <f t="shared" si="23"/>
        <v>52.992000000000012</v>
      </c>
    </row>
    <row r="74" spans="1:35" ht="14.45" customHeight="1" x14ac:dyDescent="0.25">
      <c r="B74" s="188" t="s">
        <v>201</v>
      </c>
      <c r="E74" s="233">
        <f t="shared" ref="E74:AG74" si="35">SUM(E62:E73)</f>
        <v>48823.821000000004</v>
      </c>
      <c r="F74" s="233">
        <f t="shared" si="35"/>
        <v>3329.204096826124</v>
      </c>
      <c r="G74" s="233">
        <f t="shared" si="35"/>
        <v>2996.1821048165757</v>
      </c>
      <c r="H74" s="233">
        <f t="shared" si="35"/>
        <v>2643.6783262744689</v>
      </c>
      <c r="I74" s="233">
        <f t="shared" si="35"/>
        <v>2270.5530766876486</v>
      </c>
      <c r="J74" s="233">
        <f t="shared" si="35"/>
        <v>1875.6000000000001</v>
      </c>
      <c r="K74" s="233">
        <f t="shared" si="35"/>
        <v>1875.6000000000001</v>
      </c>
      <c r="L74" s="233">
        <f t="shared" si="35"/>
        <v>1875.6000000000001</v>
      </c>
      <c r="M74" s="233">
        <f t="shared" si="35"/>
        <v>0</v>
      </c>
      <c r="N74" s="233">
        <f t="shared" si="35"/>
        <v>0</v>
      </c>
      <c r="O74" s="233">
        <f t="shared" si="35"/>
        <v>0</v>
      </c>
      <c r="P74" s="233">
        <f t="shared" si="35"/>
        <v>0</v>
      </c>
      <c r="Q74" s="233">
        <f t="shared" si="35"/>
        <v>0</v>
      </c>
      <c r="R74" s="233">
        <f t="shared" si="35"/>
        <v>0</v>
      </c>
      <c r="S74" s="233">
        <f t="shared" si="35"/>
        <v>0</v>
      </c>
      <c r="T74" s="233">
        <f t="shared" si="35"/>
        <v>0</v>
      </c>
      <c r="U74" s="233">
        <f t="shared" si="35"/>
        <v>0</v>
      </c>
      <c r="V74" s="233">
        <f t="shared" si="35"/>
        <v>0</v>
      </c>
      <c r="W74" s="233">
        <f t="shared" si="35"/>
        <v>0</v>
      </c>
      <c r="X74" s="233">
        <f t="shared" si="35"/>
        <v>0</v>
      </c>
      <c r="Y74" s="233">
        <f t="shared" si="35"/>
        <v>0</v>
      </c>
      <c r="Z74" s="233">
        <f t="shared" si="35"/>
        <v>0</v>
      </c>
      <c r="AA74" s="233">
        <f t="shared" si="35"/>
        <v>0</v>
      </c>
      <c r="AB74" s="233">
        <f t="shared" si="35"/>
        <v>0</v>
      </c>
      <c r="AC74" s="233">
        <f t="shared" si="35"/>
        <v>0</v>
      </c>
      <c r="AD74" s="233">
        <f t="shared" si="35"/>
        <v>0</v>
      </c>
      <c r="AE74" s="233">
        <f t="shared" si="35"/>
        <v>0</v>
      </c>
      <c r="AF74" s="233">
        <f t="shared" si="35"/>
        <v>0</v>
      </c>
      <c r="AG74" s="233">
        <f t="shared" si="35"/>
        <v>0</v>
      </c>
      <c r="AH74" s="190"/>
      <c r="AI74" s="234">
        <f>+SUM(E74:AG74)</f>
        <v>65690.23860460482</v>
      </c>
    </row>
    <row r="75" spans="1:35" ht="14.45" customHeight="1" x14ac:dyDescent="0.25"/>
    <row r="76" spans="1:35" ht="14.45" customHeight="1" x14ac:dyDescent="0.25"/>
    <row r="77" spans="1:35" ht="14.45" customHeight="1" x14ac:dyDescent="0.25"/>
    <row r="78" spans="1:35" ht="14.45" customHeight="1" x14ac:dyDescent="0.25"/>
    <row r="79" spans="1:35" ht="14.45" customHeight="1" x14ac:dyDescent="0.25"/>
    <row r="80" spans="1:35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</sheetData>
  <mergeCells count="20">
    <mergeCell ref="A1:B1"/>
    <mergeCell ref="A3:B3"/>
    <mergeCell ref="A4:AI4"/>
    <mergeCell ref="A6:B6"/>
    <mergeCell ref="A64:A70"/>
    <mergeCell ref="A71:A72"/>
    <mergeCell ref="A7:A9"/>
    <mergeCell ref="A10:A15"/>
    <mergeCell ref="A25:A27"/>
    <mergeCell ref="A28:A33"/>
    <mergeCell ref="A44:A46"/>
    <mergeCell ref="A47:A52"/>
    <mergeCell ref="A43:B43"/>
    <mergeCell ref="A53:A54"/>
    <mergeCell ref="A61:B61"/>
    <mergeCell ref="A62:A63"/>
    <mergeCell ref="A16:A17"/>
    <mergeCell ref="A24:B24"/>
    <mergeCell ref="A34:A35"/>
    <mergeCell ref="A41:AI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E7637-CC69-4DF9-94C5-1C5173BF5FBB}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B11D7-7BC3-4442-9BBB-68899E7C1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ffcbdd-96e7-4382-b510-0d674d67940b"/>
    <ds:schemaRef ds:uri="d4b2f266-c533-457a-89d9-a5c40a6bf0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10E25-55EE-4D54-A736-E8E532405C35}">
  <ds:schemaRefs>
    <ds:schemaRef ds:uri="http://www.w3.org/XML/1998/namespace"/>
    <ds:schemaRef ds:uri="http://schemas.microsoft.com/office/2006/documentManagement/types"/>
    <ds:schemaRef ds:uri="d4b2f266-c533-457a-89d9-a5c40a6bf05c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23ffcbdd-96e7-4382-b510-0d674d67940b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Parametros</vt:lpstr>
      <vt:lpstr>CTP</vt:lpstr>
      <vt:lpstr>CTP Valor Presente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