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dcafs.miem.local\dne\Division de Demanda, Acceso y Eficiencia Energetica\DDAEE-Compartido\CEE\CEE 2021\Bases y documentos\"/>
    </mc:Choice>
  </mc:AlternateContent>
  <xr:revisionPtr revIDLastSave="0" documentId="13_ncr:1_{1DFB27D8-B9AE-4178-A792-9F86C960492A}" xr6:coauthVersionLast="47" xr6:coauthVersionMax="47" xr10:uidLastSave="{00000000-0000-0000-0000-000000000000}"/>
  <workbookProtection workbookAlgorithmName="SHA-512" workbookHashValue="AbErqNHB7c6sRaW1aIONQgveUMNlRTvpHuenvmEvBZbcP981YBDfIpRtFzJi/ThgA/kFudIhJBu8aN0u8Ahujw==" workbookSaltValue="jC4lPy78M04lJn3W3pFIJw==" workbookSpinCount="100000" lockStructure="1"/>
  <bookViews>
    <workbookView xWindow="-120" yWindow="-120" windowWidth="20730" windowHeight="11160" tabRatio="777" xr2:uid="{00000000-000D-0000-FFFF-FFFF00000000}"/>
  </bookViews>
  <sheets>
    <sheet name="Datos Instalaciones" sheetId="58" r:id="rId1"/>
    <sheet name="Instrucciones para hoja MMEE" sheetId="47" r:id="rId2"/>
    <sheet name="MMEE" sheetId="55" r:id="rId3"/>
    <sheet name="Calculadores" sheetId="54" state="hidden" r:id="rId4"/>
    <sheet name="Género" sheetId="56" r:id="rId5"/>
    <sheet name="SGE" sheetId="57" r:id="rId6"/>
  </sheets>
  <definedNames>
    <definedName name="_xlnm._FilterDatabase" localSheetId="2" hidden="1">MMEE!$H$7:$BG$10</definedName>
    <definedName name="_xlnm.Print_Area" localSheetId="2">MMEE!$A$1:$Y$29</definedName>
    <definedName name="Seleccione" localSheetId="0">#REF!</definedName>
    <definedName name="Seleccione" localSheetId="4">#REF!</definedName>
    <definedName name="Seleccione" localSheetId="2">#REF!</definedName>
    <definedName name="Seleccione" localSheetId="5">#REF!</definedName>
    <definedName name="Seleccione">#REF!</definedName>
    <definedName name="Seleccione_la_opción_que_corresponda" localSheetId="0">#REF!</definedName>
    <definedName name="Seleccione_la_opción_que_corresponda" localSheetId="4">#REF!</definedName>
    <definedName name="Seleccione_la_opción_que_corresponda" localSheetId="2">#REF!</definedName>
    <definedName name="Seleccione_la_opción_que_corresponda" localSheetId="5">#REF!</definedName>
    <definedName name="Seleccione_la_opción_que_corresponda">#REF!</definedName>
    <definedName name="_xlnm.Print_Titles" localSheetId="2">MMEE!$1:$3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41" i="55" l="1"/>
  <c r="AK42" i="55"/>
  <c r="AK43" i="55"/>
  <c r="AK44" i="55"/>
  <c r="AK45" i="55"/>
  <c r="AK46" i="55"/>
  <c r="AK47" i="55"/>
  <c r="AK38" i="55"/>
  <c r="AK39" i="55"/>
  <c r="AK40" i="55"/>
  <c r="AK37" i="55"/>
  <c r="BH11" i="55"/>
  <c r="BH12" i="55"/>
  <c r="BI12" i="55" s="1"/>
  <c r="BH13" i="55"/>
  <c r="BI13" i="55" s="1"/>
  <c r="BH14" i="55"/>
  <c r="BI14" i="55" s="1"/>
  <c r="BH15" i="55"/>
  <c r="BI15" i="55" s="1"/>
  <c r="BH16" i="55"/>
  <c r="BI16" i="55" s="1"/>
  <c r="BH17" i="55"/>
  <c r="BI17" i="55" s="1"/>
  <c r="BH18" i="55"/>
  <c r="BI18" i="55" s="1"/>
  <c r="BH19" i="55"/>
  <c r="BI19" i="55" s="1"/>
  <c r="BH20" i="55"/>
  <c r="BI20" i="55" s="1"/>
  <c r="BH21" i="55"/>
  <c r="BI21" i="55" s="1"/>
  <c r="BH22" i="55"/>
  <c r="BI22" i="55" s="1"/>
  <c r="BH23" i="55"/>
  <c r="BI23" i="55" s="1"/>
  <c r="BH24" i="55"/>
  <c r="BI24" i="55" s="1"/>
  <c r="BH25" i="55"/>
  <c r="BI25" i="55" s="1"/>
  <c r="BH26" i="55"/>
  <c r="BI26" i="55" s="1"/>
  <c r="BH27" i="55"/>
  <c r="BI27" i="55" s="1"/>
  <c r="BH28" i="55"/>
  <c r="BI28" i="55" s="1"/>
  <c r="BH29" i="55"/>
  <c r="BI29" i="55" s="1"/>
  <c r="BH10" i="55"/>
  <c r="BI10" i="55" s="1"/>
  <c r="BI11" i="55"/>
  <c r="E5" i="56" l="1"/>
  <c r="B16" i="58"/>
  <c r="B17" i="58" s="1"/>
  <c r="B18" i="58" s="1"/>
  <c r="B19" i="58" s="1"/>
  <c r="B20" i="58" s="1"/>
  <c r="B21" i="58" s="1"/>
  <c r="B22" i="58" s="1"/>
  <c r="B23" i="58" s="1"/>
  <c r="B24" i="58" s="1"/>
  <c r="B25" i="58" s="1"/>
  <c r="B26" i="58" s="1"/>
  <c r="B27" i="58" s="1"/>
  <c r="B28" i="58" s="1"/>
  <c r="B29" i="58" s="1"/>
  <c r="B30" i="58" s="1"/>
  <c r="B31" i="58" s="1"/>
  <c r="B32" i="58" s="1"/>
  <c r="B33" i="58" s="1"/>
  <c r="B34" i="58" s="1"/>
  <c r="C16" i="58"/>
  <c r="AO12" i="55"/>
  <c r="Y11" i="55"/>
  <c r="Y12" i="55"/>
  <c r="Y13" i="55"/>
  <c r="Y14" i="55"/>
  <c r="Y15" i="55"/>
  <c r="Y16" i="55"/>
  <c r="Y17" i="55"/>
  <c r="Y18" i="55"/>
  <c r="Y19" i="55"/>
  <c r="Y20" i="55"/>
  <c r="Y21" i="55"/>
  <c r="Y22" i="55"/>
  <c r="Y23" i="55"/>
  <c r="Y24" i="55"/>
  <c r="Y25" i="55"/>
  <c r="Y26" i="55"/>
  <c r="Y27" i="55"/>
  <c r="Y28" i="55"/>
  <c r="Y29" i="55"/>
  <c r="Y10" i="55"/>
  <c r="AO10" i="55"/>
  <c r="AO14" i="55"/>
  <c r="AO16" i="55"/>
  <c r="AO17" i="55"/>
  <c r="AO20" i="55"/>
  <c r="AO21" i="55"/>
  <c r="AO22" i="55"/>
  <c r="AO23" i="55"/>
  <c r="AO24" i="55"/>
  <c r="AO25" i="55"/>
  <c r="AO26" i="55"/>
  <c r="AO27" i="55"/>
  <c r="AO28" i="55"/>
  <c r="AO29" i="55"/>
  <c r="AO19" i="55"/>
  <c r="O10" i="55" l="1"/>
  <c r="O11" i="55"/>
  <c r="O12" i="55"/>
  <c r="O13" i="55"/>
  <c r="O14" i="55"/>
  <c r="O15" i="55"/>
  <c r="O16" i="55"/>
  <c r="O17" i="55"/>
  <c r="O18" i="55"/>
  <c r="O20" i="55"/>
  <c r="O21" i="55"/>
  <c r="O22" i="55"/>
  <c r="O23" i="55"/>
  <c r="O24" i="55"/>
  <c r="O25" i="55"/>
  <c r="O26" i="55"/>
  <c r="O27" i="55"/>
  <c r="O28" i="55"/>
  <c r="O29" i="55"/>
  <c r="O19" i="55"/>
  <c r="AQ16" i="55"/>
  <c r="AQ19" i="55"/>
  <c r="AQ20" i="55"/>
  <c r="AQ21" i="55"/>
  <c r="AQ22" i="55"/>
  <c r="AQ23" i="55"/>
  <c r="AQ24" i="55"/>
  <c r="AQ25" i="55"/>
  <c r="AQ26" i="55"/>
  <c r="AQ27" i="55"/>
  <c r="AQ28" i="55"/>
  <c r="AQ29" i="55"/>
  <c r="AQ12" i="55"/>
  <c r="B21" i="54"/>
  <c r="AL17" i="55"/>
  <c r="AP17" i="55" s="1"/>
  <c r="AL18" i="55"/>
  <c r="AP18" i="55" s="1"/>
  <c r="AL19" i="55"/>
  <c r="AM19" i="55" s="1"/>
  <c r="AL20" i="55"/>
  <c r="AP20" i="55" s="1"/>
  <c r="AL21" i="55"/>
  <c r="AP21" i="55" s="1"/>
  <c r="AL22" i="55"/>
  <c r="AN22" i="55" s="1"/>
  <c r="AL23" i="55"/>
  <c r="AM23" i="55" s="1"/>
  <c r="AL24" i="55"/>
  <c r="AP24" i="55" s="1"/>
  <c r="AL25" i="55"/>
  <c r="AM25" i="55" s="1"/>
  <c r="AL26" i="55"/>
  <c r="AN26" i="55" s="1"/>
  <c r="AL27" i="55"/>
  <c r="AP27" i="55" s="1"/>
  <c r="AL28" i="55"/>
  <c r="AP28" i="55" s="1"/>
  <c r="AL29" i="55"/>
  <c r="AP29" i="55" s="1"/>
  <c r="AL11" i="55"/>
  <c r="AL12" i="55"/>
  <c r="AP12" i="55" s="1"/>
  <c r="AL13" i="55"/>
  <c r="AM13" i="55" s="1"/>
  <c r="AL14" i="55"/>
  <c r="AM14" i="55" s="1"/>
  <c r="AL15" i="55"/>
  <c r="AM15" i="55" s="1"/>
  <c r="AL16" i="55"/>
  <c r="AP16" i="55" s="1"/>
  <c r="AL10" i="55"/>
  <c r="AN10" i="55" s="1"/>
  <c r="AM43" i="55"/>
  <c r="AM42" i="55"/>
  <c r="AM41" i="55"/>
  <c r="AM40" i="55"/>
  <c r="AM39" i="55"/>
  <c r="AM38" i="55"/>
  <c r="AM37" i="55"/>
  <c r="W13" i="55"/>
  <c r="W14" i="55"/>
  <c r="W15" i="55"/>
  <c r="W19" i="55"/>
  <c r="W20" i="55"/>
  <c r="W21" i="55"/>
  <c r="W22" i="55"/>
  <c r="W23" i="55"/>
  <c r="W24" i="55"/>
  <c r="W25" i="55"/>
  <c r="W26" i="55"/>
  <c r="W27" i="55"/>
  <c r="W28" i="55"/>
  <c r="W29" i="55"/>
  <c r="W38" i="55"/>
  <c r="W12" i="55" s="1"/>
  <c r="W39" i="55"/>
  <c r="W40" i="55"/>
  <c r="W41" i="55"/>
  <c r="W18" i="55" s="1"/>
  <c r="W42" i="55"/>
  <c r="W10" i="55" s="1"/>
  <c r="W43" i="55"/>
  <c r="W37" i="55"/>
  <c r="W16" i="55" s="1"/>
  <c r="V11" i="55"/>
  <c r="Z11" i="55" s="1"/>
  <c r="V12" i="55"/>
  <c r="X12" i="55" s="1"/>
  <c r="V13" i="55"/>
  <c r="X13" i="55" s="1"/>
  <c r="V14" i="55"/>
  <c r="X14" i="55" s="1"/>
  <c r="V15" i="55"/>
  <c r="Z15" i="55" s="1"/>
  <c r="V16" i="55"/>
  <c r="X16" i="55" s="1"/>
  <c r="V17" i="55"/>
  <c r="Z17" i="55" s="1"/>
  <c r="V18" i="55"/>
  <c r="Z18" i="55" s="1"/>
  <c r="V19" i="55"/>
  <c r="Z19" i="55" s="1"/>
  <c r="V20" i="55"/>
  <c r="X20" i="55" s="1"/>
  <c r="V21" i="55"/>
  <c r="Z21" i="55" s="1"/>
  <c r="V22" i="55"/>
  <c r="X22" i="55" s="1"/>
  <c r="V23" i="55"/>
  <c r="Z23" i="55" s="1"/>
  <c r="V24" i="55"/>
  <c r="X24" i="55" s="1"/>
  <c r="V25" i="55"/>
  <c r="Z25" i="55" s="1"/>
  <c r="V26" i="55"/>
  <c r="X26" i="55" s="1"/>
  <c r="V27" i="55"/>
  <c r="Z27" i="55" s="1"/>
  <c r="V28" i="55"/>
  <c r="X28" i="55" s="1"/>
  <c r="V29" i="55"/>
  <c r="Z29" i="55" s="1"/>
  <c r="V10" i="55"/>
  <c r="X10" i="55" s="1"/>
  <c r="AM21" i="55" l="1"/>
  <c r="AM22" i="55"/>
  <c r="AM29" i="55"/>
  <c r="X25" i="55"/>
  <c r="X15" i="55"/>
  <c r="AN19" i="55"/>
  <c r="AS16" i="55"/>
  <c r="AS28" i="55"/>
  <c r="AS20" i="55"/>
  <c r="W17" i="55"/>
  <c r="W11" i="55"/>
  <c r="X23" i="55"/>
  <c r="Z16" i="55"/>
  <c r="AM10" i="55"/>
  <c r="AN12" i="55"/>
  <c r="X29" i="55"/>
  <c r="X21" i="55"/>
  <c r="Z12" i="55"/>
  <c r="AN27" i="55"/>
  <c r="AP14" i="55"/>
  <c r="AS12" i="55"/>
  <c r="X27" i="55"/>
  <c r="X19" i="55"/>
  <c r="AN23" i="55"/>
  <c r="AS29" i="55"/>
  <c r="AM11" i="55"/>
  <c r="AN29" i="55"/>
  <c r="AN25" i="55"/>
  <c r="AN21" i="55"/>
  <c r="AN15" i="55"/>
  <c r="AP10" i="55"/>
  <c r="AP26" i="55"/>
  <c r="AP22" i="55"/>
  <c r="AP11" i="55"/>
  <c r="AS27" i="55"/>
  <c r="AS21" i="55"/>
  <c r="AQ10" i="55"/>
  <c r="AS10" i="55" s="1"/>
  <c r="AS26" i="55"/>
  <c r="AS22" i="55"/>
  <c r="Z10" i="55"/>
  <c r="Z26" i="55"/>
  <c r="Z22" i="55"/>
  <c r="Z28" i="55"/>
  <c r="Z24" i="55"/>
  <c r="Z20" i="55"/>
  <c r="Z14" i="55"/>
  <c r="X11" i="55"/>
  <c r="Z13" i="55"/>
  <c r="AN28" i="55"/>
  <c r="AN24" i="55"/>
  <c r="AN20" i="55"/>
  <c r="AN14" i="55"/>
  <c r="AP25" i="55"/>
  <c r="AP15" i="55"/>
  <c r="AQ14" i="55"/>
  <c r="AS14" i="55" s="1"/>
  <c r="AS25" i="55"/>
  <c r="AS24" i="55"/>
  <c r="AM16" i="55"/>
  <c r="AN16" i="55"/>
  <c r="AN11" i="55"/>
  <c r="AP23" i="55"/>
  <c r="AP19" i="55"/>
  <c r="AS23" i="55"/>
  <c r="AS19" i="55"/>
  <c r="AN13" i="55"/>
  <c r="AP13" i="55"/>
  <c r="AN18" i="55"/>
  <c r="X18" i="55"/>
  <c r="AM17" i="55"/>
  <c r="X17" i="55"/>
  <c r="AN17" i="55"/>
  <c r="AM12" i="55"/>
  <c r="AM27" i="55"/>
  <c r="AM26" i="55"/>
  <c r="AM18" i="55"/>
  <c r="AM28" i="55"/>
  <c r="AM24" i="55"/>
  <c r="AM20" i="55"/>
  <c r="B132" i="54"/>
  <c r="H132" i="54" l="1"/>
  <c r="BK11" i="55"/>
  <c r="BK12" i="55"/>
  <c r="BK13" i="55"/>
  <c r="BK14" i="55"/>
  <c r="BK15" i="55"/>
  <c r="BK16" i="55"/>
  <c r="BK17" i="55"/>
  <c r="BK18" i="55"/>
  <c r="BK19" i="55"/>
  <c r="BK20" i="55"/>
  <c r="BK21" i="55"/>
  <c r="BK22" i="55"/>
  <c r="BK23" i="55"/>
  <c r="BK24" i="55"/>
  <c r="BK25" i="55"/>
  <c r="BK26" i="55"/>
  <c r="BK27" i="55"/>
  <c r="BK28" i="55"/>
  <c r="BK29" i="55"/>
  <c r="BK10" i="55"/>
  <c r="M11" i="55" l="1"/>
  <c r="M12" i="55"/>
  <c r="M13" i="55"/>
  <c r="M14" i="55"/>
  <c r="M15" i="55"/>
  <c r="M16" i="55"/>
  <c r="M17" i="55"/>
  <c r="M18" i="55"/>
  <c r="M19" i="55"/>
  <c r="M20" i="55"/>
  <c r="M21" i="55"/>
  <c r="M22" i="55"/>
  <c r="M23" i="55"/>
  <c r="M24" i="55"/>
  <c r="M25" i="55"/>
  <c r="M26" i="55"/>
  <c r="M27" i="55"/>
  <c r="M28" i="55"/>
  <c r="M29" i="55"/>
  <c r="L11" i="55"/>
  <c r="L12" i="55"/>
  <c r="L13" i="55"/>
  <c r="L14" i="55"/>
  <c r="L15" i="55"/>
  <c r="L16" i="55"/>
  <c r="L17" i="55"/>
  <c r="L18" i="55"/>
  <c r="L19" i="55"/>
  <c r="L20" i="55"/>
  <c r="L21" i="55"/>
  <c r="L22" i="55"/>
  <c r="L23" i="55"/>
  <c r="L24" i="55"/>
  <c r="L25" i="55"/>
  <c r="L26" i="55"/>
  <c r="L27" i="55"/>
  <c r="L28" i="55"/>
  <c r="L29" i="55"/>
  <c r="I11" i="55"/>
  <c r="I12" i="55"/>
  <c r="I13" i="55"/>
  <c r="I14" i="55"/>
  <c r="I15" i="55"/>
  <c r="I16" i="55"/>
  <c r="I17" i="55"/>
  <c r="I18" i="55"/>
  <c r="I19" i="55"/>
  <c r="I20" i="55"/>
  <c r="I21" i="55"/>
  <c r="I22" i="55"/>
  <c r="I23" i="55"/>
  <c r="I24" i="55"/>
  <c r="I25" i="55"/>
  <c r="I26" i="55"/>
  <c r="I27" i="55"/>
  <c r="I28" i="55"/>
  <c r="I29" i="55"/>
  <c r="I10" i="55"/>
  <c r="BN11" i="55"/>
  <c r="BN12" i="55"/>
  <c r="BN13" i="55"/>
  <c r="BN14" i="55"/>
  <c r="BN15" i="55"/>
  <c r="BN16" i="55"/>
  <c r="BN17" i="55"/>
  <c r="BN18" i="55"/>
  <c r="BN19" i="55"/>
  <c r="BN20" i="55"/>
  <c r="BN21" i="55"/>
  <c r="BN22" i="55"/>
  <c r="BN23" i="55"/>
  <c r="BN24" i="55"/>
  <c r="BN25" i="55"/>
  <c r="BN26" i="55"/>
  <c r="BN27" i="55"/>
  <c r="BN28" i="55"/>
  <c r="BN29" i="55"/>
  <c r="BN10" i="55"/>
  <c r="CQ19" i="55" l="1"/>
  <c r="CQ20" i="55"/>
  <c r="CQ21" i="55"/>
  <c r="CQ22" i="55"/>
  <c r="CQ23" i="55"/>
  <c r="CQ24" i="55"/>
  <c r="CQ25" i="55"/>
  <c r="CQ26" i="55"/>
  <c r="CQ27" i="55"/>
  <c r="CQ28" i="55"/>
  <c r="CQ29" i="55"/>
  <c r="E28" i="55"/>
  <c r="AF28" i="55"/>
  <c r="AH28" i="55"/>
  <c r="AI28" i="55"/>
  <c r="AK28" i="55" s="1"/>
  <c r="AJ28" i="55"/>
  <c r="AV28" i="55"/>
  <c r="AX28" i="55"/>
  <c r="AY28" i="55"/>
  <c r="BA28" i="55" s="1"/>
  <c r="AZ28" i="55"/>
  <c r="BO28" i="55"/>
  <c r="BQ28" i="55"/>
  <c r="BS28" i="55"/>
  <c r="BU28" i="55"/>
  <c r="BW28" i="55"/>
  <c r="CG28" i="55"/>
  <c r="CR28" i="55"/>
  <c r="E15" i="55"/>
  <c r="E16" i="55"/>
  <c r="E17" i="55"/>
  <c r="E18" i="55"/>
  <c r="E19" i="55"/>
  <c r="E20" i="55"/>
  <c r="E21" i="55"/>
  <c r="E22" i="55"/>
  <c r="E23" i="55"/>
  <c r="E24" i="55"/>
  <c r="E25" i="55"/>
  <c r="E26" i="55"/>
  <c r="E27" i="55"/>
  <c r="E29" i="55"/>
  <c r="E44" i="58"/>
  <c r="E45" i="58"/>
  <c r="E46" i="58"/>
  <c r="E47" i="58"/>
  <c r="E48" i="58"/>
  <c r="E49" i="58"/>
  <c r="E50" i="58"/>
  <c r="E51" i="58"/>
  <c r="E52" i="58"/>
  <c r="E53" i="58"/>
  <c r="E54" i="58"/>
  <c r="E55" i="58"/>
  <c r="E56" i="58"/>
  <c r="E57" i="58"/>
  <c r="E58" i="58"/>
  <c r="E59" i="58"/>
  <c r="E60" i="58"/>
  <c r="E61" i="58"/>
  <c r="E62" i="58"/>
  <c r="E43" i="58"/>
  <c r="C10" i="55"/>
  <c r="C11" i="55" s="1"/>
  <c r="C12" i="55" s="1"/>
  <c r="C13" i="55" s="1"/>
  <c r="C14" i="55" s="1"/>
  <c r="C15" i="55" s="1"/>
  <c r="C16" i="55" s="1"/>
  <c r="C17" i="55" s="1"/>
  <c r="C18" i="55" s="1"/>
  <c r="C19" i="55" s="1"/>
  <c r="C20" i="55" s="1"/>
  <c r="C21" i="55" s="1"/>
  <c r="C22" i="55" s="1"/>
  <c r="C23" i="55" s="1"/>
  <c r="C24" i="55" s="1"/>
  <c r="C25" i="55" s="1"/>
  <c r="C26" i="55" s="1"/>
  <c r="C27" i="55" s="1"/>
  <c r="C29" i="55" s="1"/>
  <c r="B10" i="55"/>
  <c r="B11" i="55" s="1"/>
  <c r="B12" i="55" s="1"/>
  <c r="B13" i="55" s="1"/>
  <c r="B14" i="55" s="1"/>
  <c r="B15" i="55" s="1"/>
  <c r="B16" i="55" s="1"/>
  <c r="B17" i="55" s="1"/>
  <c r="B18" i="55" s="1"/>
  <c r="B19" i="55" s="1"/>
  <c r="B20" i="55" s="1"/>
  <c r="B21" i="55" s="1"/>
  <c r="B22" i="55" s="1"/>
  <c r="B23" i="55" s="1"/>
  <c r="B24" i="55" s="1"/>
  <c r="B25" i="55" s="1"/>
  <c r="B26" i="55" s="1"/>
  <c r="B27" i="55" s="1"/>
  <c r="B29" i="55" s="1"/>
  <c r="C17" i="58"/>
  <c r="C18" i="58" s="1"/>
  <c r="C19" i="58" s="1"/>
  <c r="C20" i="58" s="1"/>
  <c r="C21" i="58" s="1"/>
  <c r="C22" i="58" s="1"/>
  <c r="C23" i="58" s="1"/>
  <c r="C24" i="58" s="1"/>
  <c r="C25" i="58" s="1"/>
  <c r="C26" i="58" s="1"/>
  <c r="C27" i="58" s="1"/>
  <c r="C28" i="58" s="1"/>
  <c r="C29" i="58" s="1"/>
  <c r="C30" i="58" s="1"/>
  <c r="C31" i="58" s="1"/>
  <c r="C32" i="58" s="1"/>
  <c r="C33" i="58" s="1"/>
  <c r="C34" i="58" s="1"/>
  <c r="AA28" i="55" l="1"/>
  <c r="AC28" i="55" s="1"/>
  <c r="AB28" i="55"/>
  <c r="AR28" i="55"/>
  <c r="C28" i="55"/>
  <c r="B28" i="55"/>
  <c r="BC28" i="55" l="1"/>
  <c r="BD28" i="55" s="1"/>
  <c r="BG28" i="55"/>
  <c r="BE28" i="55"/>
  <c r="BF28" i="55" s="1"/>
  <c r="D7" i="55"/>
  <c r="C7" i="55"/>
  <c r="B7" i="55"/>
  <c r="CL28" i="55" l="1"/>
  <c r="CN28" i="55" s="1"/>
  <c r="CP28" i="55" s="1"/>
  <c r="BQ11" i="55"/>
  <c r="BQ12" i="55"/>
  <c r="BQ13" i="55"/>
  <c r="BQ14" i="55"/>
  <c r="BQ15" i="55"/>
  <c r="BQ16" i="55"/>
  <c r="BQ17" i="55"/>
  <c r="BQ18" i="55"/>
  <c r="BQ19" i="55"/>
  <c r="BQ20" i="55"/>
  <c r="BQ21" i="55"/>
  <c r="BQ22" i="55"/>
  <c r="BQ23" i="55"/>
  <c r="BQ24" i="55"/>
  <c r="BQ25" i="55"/>
  <c r="BQ26" i="55"/>
  <c r="BQ27" i="55"/>
  <c r="BQ29" i="55"/>
  <c r="BQ10" i="55"/>
  <c r="BL10" i="55"/>
  <c r="BP10" i="55"/>
  <c r="AQ17" i="55" l="1"/>
  <c r="AS17" i="55" s="1"/>
  <c r="AA12" i="55"/>
  <c r="AC12" i="55" s="1"/>
  <c r="B233" i="54"/>
  <c r="B235" i="54"/>
  <c r="AO15" i="55" s="1"/>
  <c r="AQ15" i="55" s="1"/>
  <c r="AS15" i="55" s="1"/>
  <c r="H234" i="54"/>
  <c r="G234" i="54"/>
  <c r="H233" i="54"/>
  <c r="B232" i="54"/>
  <c r="B231" i="54"/>
  <c r="BO18" i="55"/>
  <c r="B209" i="54"/>
  <c r="B205" i="54"/>
  <c r="B204" i="54"/>
  <c r="AA19" i="55" l="1"/>
  <c r="AC19" i="55" s="1"/>
  <c r="AB19" i="55"/>
  <c r="AA20" i="55"/>
  <c r="AC20" i="55" s="1"/>
  <c r="AB20" i="55"/>
  <c r="B236" i="54"/>
  <c r="B238" i="54" s="1"/>
  <c r="B237" i="54"/>
  <c r="B208" i="54"/>
  <c r="B210" i="54" s="1"/>
  <c r="AA21" i="55" l="1"/>
  <c r="AC21" i="55" s="1"/>
  <c r="AB21" i="55"/>
  <c r="B251" i="54"/>
  <c r="B252" i="54" s="1"/>
  <c r="G236" i="54"/>
  <c r="E237" i="54"/>
  <c r="B241" i="54"/>
  <c r="B213" i="54"/>
  <c r="B218" i="54" s="1"/>
  <c r="B220" i="54" s="1"/>
  <c r="B225" i="54" s="1"/>
  <c r="B223" i="54"/>
  <c r="B224" i="54" s="1"/>
  <c r="B246" i="54" l="1"/>
  <c r="B248" i="54" s="1"/>
  <c r="B253" i="54" s="1"/>
  <c r="E241" i="54"/>
  <c r="B34" i="54"/>
  <c r="E34" i="54" s="1"/>
  <c r="B36" i="54" l="1"/>
  <c r="B124" i="54"/>
  <c r="AA15" i="55" l="1"/>
  <c r="AC15" i="55" s="1"/>
  <c r="AA10" i="55"/>
  <c r="AC10" i="55" s="1"/>
  <c r="B75" i="54"/>
  <c r="G98" i="54"/>
  <c r="BO17" i="55" l="1"/>
  <c r="B177" i="54"/>
  <c r="B178" i="54"/>
  <c r="AA17" i="55" l="1"/>
  <c r="AB17" i="55"/>
  <c r="B181" i="54"/>
  <c r="B182" i="54"/>
  <c r="AC17" i="55" l="1"/>
  <c r="B183" i="54"/>
  <c r="B186" i="54" s="1"/>
  <c r="B196" i="54"/>
  <c r="B197" i="54" s="1"/>
  <c r="B191" i="54" l="1"/>
  <c r="B193" i="54" s="1"/>
  <c r="B198" i="54" s="1"/>
  <c r="B8" i="54"/>
  <c r="B31" i="54"/>
  <c r="V130" i="54" l="1"/>
  <c r="V131" i="54" s="1"/>
  <c r="R120" i="54"/>
  <c r="R125" i="54" s="1"/>
  <c r="R126" i="54" l="1"/>
  <c r="R127" i="54"/>
  <c r="R130" i="54" s="1"/>
  <c r="R131" i="54" s="1"/>
  <c r="K91" i="54"/>
  <c r="G91" i="54" l="1"/>
  <c r="J90" i="54" l="1"/>
  <c r="J91" i="54" l="1"/>
  <c r="J98" i="54"/>
  <c r="K98" i="54" s="1"/>
  <c r="B98" i="54" s="1"/>
  <c r="J102" i="54"/>
  <c r="K102" i="54" s="1"/>
  <c r="B102" i="54" s="1"/>
  <c r="I102" i="54" s="1"/>
  <c r="J99" i="54"/>
  <c r="K99" i="54" s="1"/>
  <c r="B99" i="54" s="1"/>
  <c r="I99" i="54" s="1"/>
  <c r="J101" i="54"/>
  <c r="K101" i="54" s="1"/>
  <c r="B101" i="54" s="1"/>
  <c r="I101" i="54" s="1"/>
  <c r="I98" i="54"/>
  <c r="G101" i="54"/>
  <c r="G102" i="54"/>
  <c r="G99" i="54"/>
  <c r="E97" i="54"/>
  <c r="I105" i="54" l="1"/>
  <c r="J105" i="54"/>
  <c r="I106" i="54"/>
  <c r="G76" i="54"/>
  <c r="B55" i="54" l="1"/>
  <c r="B56" i="54"/>
  <c r="AA13" i="55" l="1"/>
  <c r="AC13" i="55" s="1"/>
  <c r="B152" i="54"/>
  <c r="B151" i="54"/>
  <c r="B149" i="54"/>
  <c r="B150" i="54"/>
  <c r="AO13" i="55" l="1"/>
  <c r="AQ13" i="55" s="1"/>
  <c r="AS13" i="55" s="1"/>
  <c r="B154" i="54"/>
  <c r="B155" i="54"/>
  <c r="H124" i="54"/>
  <c r="AA16" i="55" s="1"/>
  <c r="AC16" i="55" s="1"/>
  <c r="B122" i="54"/>
  <c r="B156" i="54" l="1"/>
  <c r="B169" i="54"/>
  <c r="B170" i="54" s="1"/>
  <c r="B79" i="54" l="1"/>
  <c r="B82" i="54" l="1"/>
  <c r="B85" i="54" s="1"/>
  <c r="B103" i="54"/>
  <c r="AO18" i="55" l="1"/>
  <c r="AQ18" i="55" s="1"/>
  <c r="AS18" i="55" s="1"/>
  <c r="AO11" i="55"/>
  <c r="AQ11" i="55" s="1"/>
  <c r="AS11" i="55" s="1"/>
  <c r="B89" i="54"/>
  <c r="B90" i="54" s="1"/>
  <c r="B22" i="54" l="1"/>
  <c r="B23" i="54" s="1"/>
  <c r="BP11" i="55"/>
  <c r="BP12" i="55" s="1"/>
  <c r="BP13" i="55" s="1"/>
  <c r="BP14" i="55" s="1"/>
  <c r="BP15" i="55" s="1"/>
  <c r="BP16" i="55" s="1"/>
  <c r="BP17" i="55" s="1"/>
  <c r="BP18" i="55" s="1"/>
  <c r="BP19" i="55" s="1"/>
  <c r="BP20" i="55" s="1"/>
  <c r="BP21" i="55" s="1"/>
  <c r="BP22" i="55" s="1"/>
  <c r="BP23" i="55" s="1"/>
  <c r="BP24" i="55" s="1"/>
  <c r="BP25" i="55" s="1"/>
  <c r="BP26" i="55" s="1"/>
  <c r="BP27" i="55" s="1"/>
  <c r="BL11" i="55"/>
  <c r="BL12" i="55" s="1"/>
  <c r="BL13" i="55" s="1"/>
  <c r="BL14" i="55" s="1"/>
  <c r="BL15" i="55" s="1"/>
  <c r="BL16" i="55" s="1"/>
  <c r="BL17" i="55" s="1"/>
  <c r="BP29" i="55" l="1"/>
  <c r="BP28" i="55"/>
  <c r="BL18" i="55"/>
  <c r="BM17" i="55"/>
  <c r="BM10" i="55"/>
  <c r="BM11" i="55"/>
  <c r="BL19" i="55" l="1"/>
  <c r="BM18" i="55"/>
  <c r="BL20" i="55" l="1"/>
  <c r="BM19" i="55"/>
  <c r="BM12" i="55"/>
  <c r="J33" i="58"/>
  <c r="AC34" i="58"/>
  <c r="AB34" i="58"/>
  <c r="Y34" i="58"/>
  <c r="X34" i="58"/>
  <c r="U34" i="58"/>
  <c r="T34" i="58"/>
  <c r="Q34" i="58"/>
  <c r="P34" i="58"/>
  <c r="M34" i="58"/>
  <c r="J34" i="58"/>
  <c r="AC33" i="58"/>
  <c r="AB33" i="58"/>
  <c r="Y33" i="58"/>
  <c r="X33" i="58"/>
  <c r="U33" i="58"/>
  <c r="T33" i="58"/>
  <c r="Q33" i="58"/>
  <c r="P33" i="58"/>
  <c r="AC32" i="58"/>
  <c r="AB32" i="58"/>
  <c r="Y32" i="58"/>
  <c r="X32" i="58"/>
  <c r="U32" i="58"/>
  <c r="T32" i="58"/>
  <c r="Q32" i="58"/>
  <c r="P32" i="58"/>
  <c r="M32" i="58"/>
  <c r="J32" i="58"/>
  <c r="AC31" i="58"/>
  <c r="AB31" i="58"/>
  <c r="Y31" i="58"/>
  <c r="X31" i="58"/>
  <c r="U31" i="58"/>
  <c r="T31" i="58"/>
  <c r="Q31" i="58"/>
  <c r="P31" i="58"/>
  <c r="M31" i="58"/>
  <c r="AC30" i="58"/>
  <c r="AB30" i="58"/>
  <c r="Y30" i="58"/>
  <c r="X30" i="58"/>
  <c r="U30" i="58"/>
  <c r="T30" i="58"/>
  <c r="Q30" i="58"/>
  <c r="P30" i="58"/>
  <c r="J30" i="58"/>
  <c r="AC29" i="58"/>
  <c r="AB29" i="58"/>
  <c r="Y29" i="58"/>
  <c r="X29" i="58"/>
  <c r="U29" i="58"/>
  <c r="T29" i="58"/>
  <c r="Q29" i="58"/>
  <c r="P29" i="58"/>
  <c r="J29" i="58"/>
  <c r="AC28" i="58"/>
  <c r="AB28" i="58"/>
  <c r="Y28" i="58"/>
  <c r="X28" i="58"/>
  <c r="U28" i="58"/>
  <c r="T28" i="58"/>
  <c r="Q28" i="58"/>
  <c r="P28" i="58"/>
  <c r="M28" i="58"/>
  <c r="AC27" i="58"/>
  <c r="AB27" i="58"/>
  <c r="Y27" i="58"/>
  <c r="X27" i="58"/>
  <c r="U27" i="58"/>
  <c r="T27" i="58"/>
  <c r="Q27" i="58"/>
  <c r="P27" i="58"/>
  <c r="J27" i="58"/>
  <c r="AC26" i="58"/>
  <c r="AB26" i="58"/>
  <c r="Y26" i="58"/>
  <c r="X26" i="58"/>
  <c r="U26" i="58"/>
  <c r="T26" i="58"/>
  <c r="Q26" i="58"/>
  <c r="P26" i="58"/>
  <c r="M26" i="58"/>
  <c r="J26" i="58"/>
  <c r="AC25" i="58"/>
  <c r="AB25" i="58"/>
  <c r="Y25" i="58"/>
  <c r="X25" i="58"/>
  <c r="U25" i="58"/>
  <c r="T25" i="58"/>
  <c r="Q25" i="58"/>
  <c r="P25" i="58"/>
  <c r="J25" i="58"/>
  <c r="AC24" i="58"/>
  <c r="AB24" i="58"/>
  <c r="Y24" i="58"/>
  <c r="X24" i="58"/>
  <c r="U24" i="58"/>
  <c r="T24" i="58"/>
  <c r="Q24" i="58"/>
  <c r="P24" i="58"/>
  <c r="M24" i="58"/>
  <c r="J24" i="58"/>
  <c r="AC23" i="58"/>
  <c r="AB23" i="58"/>
  <c r="Y23" i="58"/>
  <c r="X23" i="58"/>
  <c r="U23" i="58"/>
  <c r="T23" i="58"/>
  <c r="Q23" i="58"/>
  <c r="P23" i="58"/>
  <c r="J23" i="58"/>
  <c r="AC22" i="58"/>
  <c r="AB22" i="58"/>
  <c r="Y22" i="58"/>
  <c r="X22" i="58"/>
  <c r="U22" i="58"/>
  <c r="T22" i="58"/>
  <c r="Q22" i="58"/>
  <c r="P22" i="58"/>
  <c r="M22" i="58"/>
  <c r="J22" i="58"/>
  <c r="AC21" i="58"/>
  <c r="AB21" i="58"/>
  <c r="Y21" i="58"/>
  <c r="X21" i="58"/>
  <c r="U21" i="58"/>
  <c r="T21" i="58"/>
  <c r="Q21" i="58"/>
  <c r="P21" i="58"/>
  <c r="M21" i="58"/>
  <c r="J21" i="58"/>
  <c r="AC20" i="58"/>
  <c r="AB20" i="58"/>
  <c r="Y20" i="58"/>
  <c r="X20" i="58"/>
  <c r="U20" i="58"/>
  <c r="T20" i="58"/>
  <c r="Q20" i="58"/>
  <c r="P20" i="58"/>
  <c r="M20" i="58"/>
  <c r="J20" i="58"/>
  <c r="AC19" i="58"/>
  <c r="AB19" i="58"/>
  <c r="Y19" i="58"/>
  <c r="X19" i="58"/>
  <c r="U19" i="58"/>
  <c r="T19" i="58"/>
  <c r="Q19" i="58"/>
  <c r="P19" i="58"/>
  <c r="M19" i="58"/>
  <c r="J19" i="58"/>
  <c r="AC18" i="58"/>
  <c r="AB18" i="58"/>
  <c r="Y18" i="58"/>
  <c r="X18" i="58"/>
  <c r="U18" i="58"/>
  <c r="T18" i="58"/>
  <c r="Q18" i="58"/>
  <c r="P18" i="58"/>
  <c r="M18" i="58"/>
  <c r="J18" i="58"/>
  <c r="AC17" i="58"/>
  <c r="AB17" i="58"/>
  <c r="Y17" i="58"/>
  <c r="X17" i="58"/>
  <c r="U17" i="58"/>
  <c r="T17" i="58"/>
  <c r="Q17" i="58"/>
  <c r="P17" i="58"/>
  <c r="M17" i="58"/>
  <c r="J17" i="58"/>
  <c r="AC16" i="58"/>
  <c r="AB16" i="58"/>
  <c r="Y16" i="58"/>
  <c r="X16" i="58"/>
  <c r="U16" i="58"/>
  <c r="T16" i="58"/>
  <c r="Q16" i="58"/>
  <c r="P16" i="58"/>
  <c r="M16" i="58"/>
  <c r="J16" i="58"/>
  <c r="AC15" i="58"/>
  <c r="AB15" i="58"/>
  <c r="Y15" i="58"/>
  <c r="X15" i="58"/>
  <c r="U15" i="58"/>
  <c r="T15" i="58"/>
  <c r="Q15" i="58"/>
  <c r="P15" i="58"/>
  <c r="M15" i="58"/>
  <c r="J15" i="58"/>
  <c r="BL21" i="55" l="1"/>
  <c r="BM20" i="55"/>
  <c r="BM13" i="55"/>
  <c r="M23" i="58"/>
  <c r="AD23" i="58" s="1"/>
  <c r="M25" i="58"/>
  <c r="AD25" i="58" s="1"/>
  <c r="J28" i="58"/>
  <c r="AD28" i="58" s="1"/>
  <c r="M30" i="58"/>
  <c r="AD30" i="58" s="1"/>
  <c r="M33" i="58"/>
  <c r="AD33" i="58" s="1"/>
  <c r="AD22" i="58"/>
  <c r="AD34" i="58"/>
  <c r="AD18" i="58"/>
  <c r="E13" i="55" s="1"/>
  <c r="AD19" i="58"/>
  <c r="E14" i="55" s="1"/>
  <c r="AD21" i="58"/>
  <c r="AD26" i="58"/>
  <c r="AD32" i="58"/>
  <c r="AD20" i="58"/>
  <c r="AD16" i="58"/>
  <c r="E12" i="55" s="1"/>
  <c r="AD15" i="58"/>
  <c r="AD17" i="58"/>
  <c r="AD24" i="58"/>
  <c r="M27" i="58"/>
  <c r="AD27" i="58" s="1"/>
  <c r="M29" i="58"/>
  <c r="AD29" i="58" s="1"/>
  <c r="J31" i="58"/>
  <c r="AD31" i="58" s="1"/>
  <c r="E10" i="55" l="1"/>
  <c r="E11" i="55"/>
  <c r="BL22" i="55"/>
  <c r="BM21" i="55"/>
  <c r="BM14" i="55"/>
  <c r="E10" i="56"/>
  <c r="CD10" i="55" s="1"/>
  <c r="CD11" i="55" s="1"/>
  <c r="CD12" i="55" s="1"/>
  <c r="CD13" i="55" s="1"/>
  <c r="CD14" i="55" s="1"/>
  <c r="CD15" i="55" s="1"/>
  <c r="CD16" i="55" s="1"/>
  <c r="CD17" i="55" s="1"/>
  <c r="CD18" i="55" s="1"/>
  <c r="CD19" i="55" s="1"/>
  <c r="CD20" i="55" s="1"/>
  <c r="CD21" i="55" s="1"/>
  <c r="CD22" i="55" s="1"/>
  <c r="CD23" i="55" s="1"/>
  <c r="CD24" i="55" s="1"/>
  <c r="CD25" i="55" s="1"/>
  <c r="CD26" i="55" s="1"/>
  <c r="CD27" i="55" s="1"/>
  <c r="CD28" i="55" s="1"/>
  <c r="CD29" i="55" s="1"/>
  <c r="E9" i="56"/>
  <c r="CC10" i="55" s="1"/>
  <c r="CC11" i="55" s="1"/>
  <c r="CC12" i="55" s="1"/>
  <c r="CC13" i="55" s="1"/>
  <c r="CC14" i="55" s="1"/>
  <c r="CC15" i="55" s="1"/>
  <c r="CC16" i="55" s="1"/>
  <c r="CC17" i="55" s="1"/>
  <c r="CC18" i="55" s="1"/>
  <c r="CC19" i="55" s="1"/>
  <c r="CC20" i="55" s="1"/>
  <c r="CC21" i="55" s="1"/>
  <c r="CC22" i="55" s="1"/>
  <c r="CC23" i="55" s="1"/>
  <c r="CC24" i="55" s="1"/>
  <c r="CC25" i="55" s="1"/>
  <c r="CC26" i="55" s="1"/>
  <c r="CC27" i="55" s="1"/>
  <c r="CC28" i="55" s="1"/>
  <c r="CC29" i="55" s="1"/>
  <c r="E8" i="56"/>
  <c r="CB10" i="55" s="1"/>
  <c r="CB11" i="55" s="1"/>
  <c r="CB12" i="55" s="1"/>
  <c r="CB13" i="55" s="1"/>
  <c r="CB14" i="55" s="1"/>
  <c r="CB15" i="55" s="1"/>
  <c r="CB16" i="55" s="1"/>
  <c r="CB17" i="55" s="1"/>
  <c r="CB18" i="55" s="1"/>
  <c r="CB19" i="55" s="1"/>
  <c r="CB20" i="55" s="1"/>
  <c r="CB21" i="55" s="1"/>
  <c r="CB22" i="55" s="1"/>
  <c r="CB23" i="55" s="1"/>
  <c r="CB24" i="55" s="1"/>
  <c r="CB25" i="55" s="1"/>
  <c r="CB26" i="55" s="1"/>
  <c r="CB27" i="55" s="1"/>
  <c r="CB28" i="55" s="1"/>
  <c r="CB29" i="55" s="1"/>
  <c r="E7" i="56"/>
  <c r="CA10" i="55" s="1"/>
  <c r="CA11" i="55" s="1"/>
  <c r="CA12" i="55" s="1"/>
  <c r="CA13" i="55" s="1"/>
  <c r="CA14" i="55" s="1"/>
  <c r="CA15" i="55" s="1"/>
  <c r="CA16" i="55" s="1"/>
  <c r="CA17" i="55" s="1"/>
  <c r="CA18" i="55" s="1"/>
  <c r="CA19" i="55" s="1"/>
  <c r="CA20" i="55" s="1"/>
  <c r="CA21" i="55" s="1"/>
  <c r="CA22" i="55" s="1"/>
  <c r="CA23" i="55" s="1"/>
  <c r="CA24" i="55" s="1"/>
  <c r="CA25" i="55" s="1"/>
  <c r="CA26" i="55" s="1"/>
  <c r="CA27" i="55" s="1"/>
  <c r="CA28" i="55" s="1"/>
  <c r="CA29" i="55" s="1"/>
  <c r="E6" i="56"/>
  <c r="BZ10" i="55" s="1"/>
  <c r="BZ11" i="55" s="1"/>
  <c r="BZ12" i="55" s="1"/>
  <c r="BZ13" i="55" s="1"/>
  <c r="BZ14" i="55" s="1"/>
  <c r="BZ15" i="55" s="1"/>
  <c r="BZ16" i="55" s="1"/>
  <c r="BZ17" i="55" s="1"/>
  <c r="BZ18" i="55" s="1"/>
  <c r="BZ19" i="55" s="1"/>
  <c r="BZ20" i="55" s="1"/>
  <c r="BZ21" i="55" s="1"/>
  <c r="BZ22" i="55" s="1"/>
  <c r="BZ23" i="55" s="1"/>
  <c r="BZ24" i="55" s="1"/>
  <c r="BZ25" i="55" s="1"/>
  <c r="BZ26" i="55" s="1"/>
  <c r="BZ27" i="55" s="1"/>
  <c r="BZ28" i="55" s="1"/>
  <c r="BZ29" i="55" s="1"/>
  <c r="BY10" i="55" l="1"/>
  <c r="BY11" i="55" s="1"/>
  <c r="BY12" i="55" s="1"/>
  <c r="BY13" i="55" s="1"/>
  <c r="BY14" i="55" s="1"/>
  <c r="BY15" i="55" s="1"/>
  <c r="BY16" i="55" s="1"/>
  <c r="BY17" i="55" s="1"/>
  <c r="BY18" i="55" s="1"/>
  <c r="BY19" i="55" s="1"/>
  <c r="BY20" i="55" s="1"/>
  <c r="BY21" i="55" s="1"/>
  <c r="BY22" i="55" s="1"/>
  <c r="BY23" i="55" s="1"/>
  <c r="BY24" i="55" s="1"/>
  <c r="BY25" i="55" s="1"/>
  <c r="BY26" i="55" s="1"/>
  <c r="BY27" i="55" s="1"/>
  <c r="BY28" i="55" s="1"/>
  <c r="BY29" i="55" s="1"/>
  <c r="E11" i="56"/>
  <c r="CE10" i="55" s="1"/>
  <c r="BL23" i="55"/>
  <c r="BM22" i="55"/>
  <c r="BM15" i="55"/>
  <c r="CE11" i="55" l="1"/>
  <c r="BL24" i="55"/>
  <c r="BM23" i="55"/>
  <c r="BM16" i="55"/>
  <c r="E154" i="54"/>
  <c r="CE12" i="55" l="1"/>
  <c r="BL25" i="55"/>
  <c r="BM24" i="55"/>
  <c r="G154" i="54"/>
  <c r="E155" i="54"/>
  <c r="B159" i="54"/>
  <c r="CE13" i="55" l="1"/>
  <c r="AA24" i="55"/>
  <c r="AC24" i="55" s="1"/>
  <c r="AB24" i="55"/>
  <c r="AA22" i="55"/>
  <c r="AC22" i="55" s="1"/>
  <c r="AB22" i="55"/>
  <c r="AA27" i="55"/>
  <c r="AC27" i="55" s="1"/>
  <c r="AB27" i="55"/>
  <c r="AA29" i="55"/>
  <c r="AC29" i="55" s="1"/>
  <c r="AB29" i="55"/>
  <c r="AA25" i="55"/>
  <c r="AC25" i="55" s="1"/>
  <c r="AB25" i="55"/>
  <c r="AA23" i="55"/>
  <c r="AC23" i="55" s="1"/>
  <c r="AB23" i="55"/>
  <c r="AA26" i="55"/>
  <c r="AC26" i="55" s="1"/>
  <c r="AB26" i="55"/>
  <c r="BL26" i="55"/>
  <c r="BM25" i="55"/>
  <c r="B164" i="54"/>
  <c r="B166" i="54" s="1"/>
  <c r="H129" i="54"/>
  <c r="H128" i="54"/>
  <c r="CE14" i="55" l="1"/>
  <c r="BL27" i="55"/>
  <c r="BL28" i="55" s="1"/>
  <c r="BM28" i="55" s="1"/>
  <c r="BM26" i="55"/>
  <c r="H130" i="54"/>
  <c r="H141" i="54" s="1"/>
  <c r="H142" i="54" s="1"/>
  <c r="CE15" i="55" l="1"/>
  <c r="BL29" i="55"/>
  <c r="BM29" i="55" s="1"/>
  <c r="BM27" i="55"/>
  <c r="H131" i="54"/>
  <c r="H134" i="54" s="1"/>
  <c r="H151" i="54"/>
  <c r="CE16" i="55" l="1"/>
  <c r="H137" i="54"/>
  <c r="H139" i="54" s="1"/>
  <c r="H143" i="54" s="1"/>
  <c r="B129" i="54"/>
  <c r="BO11" i="55"/>
  <c r="BO12" i="55"/>
  <c r="BO13" i="55"/>
  <c r="BO14" i="55"/>
  <c r="BO15" i="55"/>
  <c r="BO16" i="55"/>
  <c r="BO19" i="55"/>
  <c r="BO20" i="55"/>
  <c r="BO21" i="55"/>
  <c r="BO22" i="55"/>
  <c r="BO23" i="55"/>
  <c r="BO24" i="55"/>
  <c r="BO25" i="55"/>
  <c r="BO26" i="55"/>
  <c r="BO27" i="55"/>
  <c r="BO29" i="55"/>
  <c r="BO10" i="55"/>
  <c r="CE17" i="55" l="1"/>
  <c r="B47" i="54"/>
  <c r="B48" i="54" s="1"/>
  <c r="AR11" i="55"/>
  <c r="CE18" i="55" l="1"/>
  <c r="CG29" i="55"/>
  <c r="BW29" i="55"/>
  <c r="BU29" i="55"/>
  <c r="BS29" i="55"/>
  <c r="AZ29" i="55"/>
  <c r="AY29" i="55"/>
  <c r="BA29" i="55" s="1"/>
  <c r="AX29" i="55"/>
  <c r="AV29" i="55"/>
  <c r="AR29" i="55"/>
  <c r="AJ29" i="55"/>
  <c r="AI29" i="55"/>
  <c r="AH29" i="55"/>
  <c r="AF29" i="55"/>
  <c r="CG27" i="55"/>
  <c r="BW27" i="55"/>
  <c r="BU27" i="55"/>
  <c r="BS27" i="55"/>
  <c r="AZ27" i="55"/>
  <c r="AY27" i="55"/>
  <c r="BA27" i="55" s="1"/>
  <c r="AX27" i="55"/>
  <c r="AV27" i="55"/>
  <c r="AR27" i="55"/>
  <c r="AJ27" i="55"/>
  <c r="AI27" i="55"/>
  <c r="AH27" i="55"/>
  <c r="AF27" i="55"/>
  <c r="CG26" i="55"/>
  <c r="BW26" i="55"/>
  <c r="BU26" i="55"/>
  <c r="BS26" i="55"/>
  <c r="AZ26" i="55"/>
  <c r="AY26" i="55"/>
  <c r="BA26" i="55" s="1"/>
  <c r="AX26" i="55"/>
  <c r="AV26" i="55"/>
  <c r="AR26" i="55"/>
  <c r="AJ26" i="55"/>
  <c r="AI26" i="55"/>
  <c r="AH26" i="55"/>
  <c r="AF26" i="55"/>
  <c r="CG25" i="55"/>
  <c r="BW25" i="55"/>
  <c r="BU25" i="55"/>
  <c r="BS25" i="55"/>
  <c r="AZ25" i="55"/>
  <c r="AY25" i="55"/>
  <c r="BA25" i="55" s="1"/>
  <c r="AX25" i="55"/>
  <c r="AV25" i="55"/>
  <c r="AR25" i="55"/>
  <c r="AJ25" i="55"/>
  <c r="AI25" i="55"/>
  <c r="AH25" i="55"/>
  <c r="AF25" i="55"/>
  <c r="CG24" i="55"/>
  <c r="BW24" i="55"/>
  <c r="BU24" i="55"/>
  <c r="BS24" i="55"/>
  <c r="AZ24" i="55"/>
  <c r="AY24" i="55"/>
  <c r="BA24" i="55" s="1"/>
  <c r="AX24" i="55"/>
  <c r="AV24" i="55"/>
  <c r="AR24" i="55"/>
  <c r="AJ24" i="55"/>
  <c r="AI24" i="55"/>
  <c r="AH24" i="55"/>
  <c r="AF24" i="55"/>
  <c r="CG23" i="55"/>
  <c r="BW23" i="55"/>
  <c r="BU23" i="55"/>
  <c r="BS23" i="55"/>
  <c r="AZ23" i="55"/>
  <c r="AY23" i="55"/>
  <c r="BA23" i="55" s="1"/>
  <c r="AX23" i="55"/>
  <c r="AV23" i="55"/>
  <c r="AR23" i="55"/>
  <c r="AJ23" i="55"/>
  <c r="AI23" i="55"/>
  <c r="AH23" i="55"/>
  <c r="AF23" i="55"/>
  <c r="CG22" i="55"/>
  <c r="BW22" i="55"/>
  <c r="BU22" i="55"/>
  <c r="BS22" i="55"/>
  <c r="AZ22" i="55"/>
  <c r="AY22" i="55"/>
  <c r="BA22" i="55" s="1"/>
  <c r="AX22" i="55"/>
  <c r="AV22" i="55"/>
  <c r="AR22" i="55"/>
  <c r="AJ22" i="55"/>
  <c r="AI22" i="55"/>
  <c r="AH22" i="55"/>
  <c r="AF22" i="55"/>
  <c r="CG21" i="55"/>
  <c r="BW21" i="55"/>
  <c r="BU21" i="55"/>
  <c r="BS21" i="55"/>
  <c r="AZ21" i="55"/>
  <c r="AY21" i="55"/>
  <c r="BA21" i="55" s="1"/>
  <c r="AX21" i="55"/>
  <c r="AV21" i="55"/>
  <c r="AR21" i="55"/>
  <c r="AJ21" i="55"/>
  <c r="AI21" i="55"/>
  <c r="AH21" i="55"/>
  <c r="AF21" i="55"/>
  <c r="CG20" i="55"/>
  <c r="BW20" i="55"/>
  <c r="BU20" i="55"/>
  <c r="BS20" i="55"/>
  <c r="AZ20" i="55"/>
  <c r="AY20" i="55"/>
  <c r="BA20" i="55" s="1"/>
  <c r="AX20" i="55"/>
  <c r="AV20" i="55"/>
  <c r="AR20" i="55"/>
  <c r="AJ20" i="55"/>
  <c r="AI20" i="55"/>
  <c r="AH20" i="55"/>
  <c r="AF20" i="55"/>
  <c r="CG19" i="55"/>
  <c r="BW19" i="55"/>
  <c r="BU19" i="55"/>
  <c r="BS19" i="55"/>
  <c r="AZ19" i="55"/>
  <c r="AY19" i="55"/>
  <c r="BA19" i="55" s="1"/>
  <c r="AX19" i="55"/>
  <c r="AV19" i="55"/>
  <c r="AR19" i="55"/>
  <c r="AJ19" i="55"/>
  <c r="AI19" i="55"/>
  <c r="AH19" i="55"/>
  <c r="AF19" i="55"/>
  <c r="CG18" i="55"/>
  <c r="BW18" i="55"/>
  <c r="BU18" i="55"/>
  <c r="BS18" i="55"/>
  <c r="AZ18" i="55"/>
  <c r="AY18" i="55"/>
  <c r="BA18" i="55" s="1"/>
  <c r="AX18" i="55"/>
  <c r="AV18" i="55"/>
  <c r="AR18" i="55"/>
  <c r="AJ18" i="55"/>
  <c r="AI18" i="55"/>
  <c r="AH18" i="55"/>
  <c r="AF18" i="55"/>
  <c r="CG17" i="55"/>
  <c r="BW17" i="55"/>
  <c r="BU17" i="55"/>
  <c r="BS17" i="55"/>
  <c r="AZ17" i="55"/>
  <c r="AY17" i="55"/>
  <c r="BA17" i="55" s="1"/>
  <c r="AX17" i="55"/>
  <c r="AV17" i="55"/>
  <c r="AR17" i="55"/>
  <c r="AJ17" i="55"/>
  <c r="AI17" i="55"/>
  <c r="AH17" i="55"/>
  <c r="AF17" i="55"/>
  <c r="CG16" i="55"/>
  <c r="BW16" i="55"/>
  <c r="BU16" i="55"/>
  <c r="BS16" i="55"/>
  <c r="AZ16" i="55"/>
  <c r="AY16" i="55"/>
  <c r="BA16" i="55" s="1"/>
  <c r="AX16" i="55"/>
  <c r="AV16" i="55"/>
  <c r="AR16" i="55"/>
  <c r="AJ16" i="55"/>
  <c r="AI16" i="55"/>
  <c r="AH16" i="55"/>
  <c r="AF16" i="55"/>
  <c r="AB16" i="55"/>
  <c r="CG15" i="55"/>
  <c r="BW15" i="55"/>
  <c r="BU15" i="55"/>
  <c r="BS15" i="55"/>
  <c r="AZ15" i="55"/>
  <c r="AY15" i="55"/>
  <c r="BA15" i="55" s="1"/>
  <c r="AX15" i="55"/>
  <c r="AV15" i="55"/>
  <c r="AR15" i="55"/>
  <c r="AJ15" i="55"/>
  <c r="AI15" i="55"/>
  <c r="AK15" i="55" s="1"/>
  <c r="AH15" i="55"/>
  <c r="AF15" i="55"/>
  <c r="AB15" i="55"/>
  <c r="CG14" i="55"/>
  <c r="BW14" i="55"/>
  <c r="BU14" i="55"/>
  <c r="BS14" i="55"/>
  <c r="AZ14" i="55"/>
  <c r="AY14" i="55"/>
  <c r="BA14" i="55" s="1"/>
  <c r="AX14" i="55"/>
  <c r="AV14" i="55"/>
  <c r="AJ14" i="55"/>
  <c r="AI14" i="55"/>
  <c r="AK14" i="55" s="1"/>
  <c r="AH14" i="55"/>
  <c r="AF14" i="55"/>
  <c r="CG13" i="55"/>
  <c r="BW13" i="55"/>
  <c r="BU13" i="55"/>
  <c r="BS13" i="55"/>
  <c r="AZ13" i="55"/>
  <c r="AY13" i="55"/>
  <c r="BA13" i="55" s="1"/>
  <c r="AX13" i="55"/>
  <c r="AV13" i="55"/>
  <c r="AJ13" i="55"/>
  <c r="AI13" i="55"/>
  <c r="AK13" i="55" s="1"/>
  <c r="AH13" i="55"/>
  <c r="AF13" i="55"/>
  <c r="CG12" i="55"/>
  <c r="BW12" i="55"/>
  <c r="BU12" i="55"/>
  <c r="BS12" i="55"/>
  <c r="AZ12" i="55"/>
  <c r="AY12" i="55"/>
  <c r="BA12" i="55" s="1"/>
  <c r="AX12" i="55"/>
  <c r="AV12" i="55"/>
  <c r="AJ12" i="55"/>
  <c r="AI12" i="55"/>
  <c r="AK12" i="55" s="1"/>
  <c r="AH12" i="55"/>
  <c r="AF12" i="55"/>
  <c r="CG11" i="55"/>
  <c r="BW11" i="55"/>
  <c r="BU11" i="55"/>
  <c r="BS11" i="55"/>
  <c r="AZ11" i="55"/>
  <c r="AY11" i="55"/>
  <c r="BA11" i="55" s="1"/>
  <c r="AX11" i="55"/>
  <c r="AV11" i="55"/>
  <c r="AJ11" i="55"/>
  <c r="AI11" i="55"/>
  <c r="AK11" i="55" s="1"/>
  <c r="AH11" i="55"/>
  <c r="AF11" i="55"/>
  <c r="CG10" i="55"/>
  <c r="BW10" i="55"/>
  <c r="BU10" i="55"/>
  <c r="BS10" i="55"/>
  <c r="AZ10" i="55"/>
  <c r="AY10" i="55"/>
  <c r="BA10" i="55" s="1"/>
  <c r="AX10" i="55"/>
  <c r="AV10" i="55"/>
  <c r="AR10" i="55"/>
  <c r="AJ10" i="55"/>
  <c r="AI10" i="55"/>
  <c r="AK10" i="55" s="1"/>
  <c r="AH10" i="55"/>
  <c r="AF10" i="55"/>
  <c r="CJ11" i="55" l="1"/>
  <c r="CJ17" i="55"/>
  <c r="CJ12" i="55"/>
  <c r="CJ13" i="55"/>
  <c r="CJ14" i="55"/>
  <c r="CJ16" i="55"/>
  <c r="CJ15" i="55"/>
  <c r="CJ10" i="55"/>
  <c r="CI10" i="55"/>
  <c r="CE19" i="55"/>
  <c r="CJ18" i="55"/>
  <c r="BC17" i="55"/>
  <c r="BD17" i="55" s="1"/>
  <c r="BC23" i="55"/>
  <c r="BD23" i="55" s="1"/>
  <c r="BC24" i="55"/>
  <c r="BD24" i="55" s="1"/>
  <c r="BC19" i="55"/>
  <c r="BC20" i="55"/>
  <c r="BC21" i="55"/>
  <c r="BC26" i="55"/>
  <c r="BC27" i="55"/>
  <c r="BC29" i="55"/>
  <c r="BC16" i="55"/>
  <c r="BC22" i="55"/>
  <c r="BC25" i="55"/>
  <c r="CI12" i="55"/>
  <c r="AK17" i="55"/>
  <c r="AK20" i="55"/>
  <c r="AK23" i="55"/>
  <c r="AK26" i="55"/>
  <c r="AK29" i="55"/>
  <c r="AK16" i="55"/>
  <c r="AK22" i="55"/>
  <c r="AK25" i="55"/>
  <c r="AK19" i="55"/>
  <c r="AK21" i="55"/>
  <c r="AK24" i="55"/>
  <c r="AK27" i="55"/>
  <c r="AK18" i="55"/>
  <c r="BC15" i="55"/>
  <c r="BD15" i="55" s="1"/>
  <c r="BE19" i="55"/>
  <c r="BF19" i="55" s="1"/>
  <c r="BE27" i="55"/>
  <c r="BF27" i="55" s="1"/>
  <c r="BE26" i="55"/>
  <c r="BF26" i="55" s="1"/>
  <c r="BE23" i="55"/>
  <c r="BF23" i="55" s="1"/>
  <c r="BE22" i="55"/>
  <c r="BF22" i="55" s="1"/>
  <c r="BE16" i="55"/>
  <c r="BF16" i="55" s="1"/>
  <c r="BE20" i="55"/>
  <c r="BF20" i="55" s="1"/>
  <c r="BE21" i="55"/>
  <c r="BF21" i="55" s="1"/>
  <c r="BE15" i="55"/>
  <c r="BF15" i="55" s="1"/>
  <c r="BE24" i="55"/>
  <c r="BF24" i="55" s="1"/>
  <c r="BE29" i="55"/>
  <c r="BF29" i="55" s="1"/>
  <c r="BE17" i="55"/>
  <c r="BF17" i="55" s="1"/>
  <c r="BE25" i="55"/>
  <c r="BF25" i="55" s="1"/>
  <c r="CE20" i="55" l="1"/>
  <c r="CJ19" i="55"/>
  <c r="BD16" i="55"/>
  <c r="BD25" i="55"/>
  <c r="BD29" i="55"/>
  <c r="BD20" i="55"/>
  <c r="BD21" i="55"/>
  <c r="BD27" i="55"/>
  <c r="BD19" i="55"/>
  <c r="BD22" i="55"/>
  <c r="BD26" i="55"/>
  <c r="CI11" i="55"/>
  <c r="BG26" i="55"/>
  <c r="BG25" i="55"/>
  <c r="BG22" i="55"/>
  <c r="BG17" i="55"/>
  <c r="E159" i="54"/>
  <c r="CL24" i="55"/>
  <c r="CN24" i="55" s="1"/>
  <c r="CP24" i="55" s="1"/>
  <c r="CR24" i="55" s="1"/>
  <c r="CL25" i="55"/>
  <c r="CN25" i="55" s="1"/>
  <c r="CP25" i="55" s="1"/>
  <c r="CR25" i="55" s="1"/>
  <c r="CE21" i="55" l="1"/>
  <c r="CJ20" i="55"/>
  <c r="CI13" i="55"/>
  <c r="B171" i="54"/>
  <c r="BG27" i="55"/>
  <c r="BG24" i="55"/>
  <c r="BG19" i="55"/>
  <c r="BG15" i="55"/>
  <c r="BG29" i="55"/>
  <c r="BG21" i="55"/>
  <c r="BG20" i="55"/>
  <c r="BG23" i="55"/>
  <c r="BG16" i="55"/>
  <c r="B128" i="54"/>
  <c r="B24" i="54"/>
  <c r="CE22" i="55" l="1"/>
  <c r="CJ21" i="55"/>
  <c r="CI14" i="55"/>
  <c r="B39" i="54"/>
  <c r="B78" i="54"/>
  <c r="AD37" i="55"/>
  <c r="B11" i="54"/>
  <c r="B14" i="54" s="1"/>
  <c r="B18" i="54" s="1"/>
  <c r="B57" i="54"/>
  <c r="B100" i="54"/>
  <c r="CE23" i="55" l="1"/>
  <c r="CJ22" i="55"/>
  <c r="AA14" i="55"/>
  <c r="AC14" i="55" s="1"/>
  <c r="B104" i="54"/>
  <c r="B107" i="54" s="1"/>
  <c r="CI15" i="55"/>
  <c r="CK15" i="55" s="1"/>
  <c r="CM15" i="55" s="1"/>
  <c r="CO15" i="55" s="1"/>
  <c r="CQ15" i="55" s="1"/>
  <c r="B45" i="54"/>
  <c r="B43" i="54"/>
  <c r="AR14" i="55"/>
  <c r="B49" i="54"/>
  <c r="E14" i="54"/>
  <c r="B87" i="54"/>
  <c r="B91" i="54" s="1"/>
  <c r="B58" i="54"/>
  <c r="B61" i="54" s="1"/>
  <c r="B64" i="54" s="1"/>
  <c r="B66" i="54" s="1"/>
  <c r="AB13" i="55"/>
  <c r="B130" i="54"/>
  <c r="AB12" i="55"/>
  <c r="BC10" i="55"/>
  <c r="CK10" i="55" s="1"/>
  <c r="CM10" i="55" s="1"/>
  <c r="CO10" i="55" s="1"/>
  <c r="CQ10" i="55" s="1"/>
  <c r="AB10" i="55"/>
  <c r="BE10" i="55" s="1"/>
  <c r="BF10" i="55" s="1"/>
  <c r="CE24" i="55" l="1"/>
  <c r="CJ23" i="55"/>
  <c r="AA11" i="55"/>
  <c r="AB11" i="55"/>
  <c r="BE11" i="55" s="1"/>
  <c r="BF11" i="55" s="1"/>
  <c r="AA18" i="55"/>
  <c r="AB18" i="55"/>
  <c r="BE18" i="55" s="1"/>
  <c r="BF18" i="55" s="1"/>
  <c r="BC13" i="55"/>
  <c r="CK13" i="55" s="1"/>
  <c r="CM13" i="55" s="1"/>
  <c r="CO13" i="55" s="1"/>
  <c r="CQ13" i="55" s="1"/>
  <c r="BD10" i="55"/>
  <c r="CI16" i="55"/>
  <c r="CK16" i="55" s="1"/>
  <c r="CM16" i="55" s="1"/>
  <c r="CO16" i="55" s="1"/>
  <c r="CQ16" i="55" s="1"/>
  <c r="B131" i="54"/>
  <c r="B134" i="54" s="1"/>
  <c r="B137" i="54" s="1"/>
  <c r="B139" i="54" s="1"/>
  <c r="B141" i="54"/>
  <c r="B142" i="54" s="1"/>
  <c r="E107" i="54"/>
  <c r="B114" i="54"/>
  <c r="B115" i="54" s="1"/>
  <c r="B70" i="54"/>
  <c r="B68" i="54"/>
  <c r="B69" i="54" s="1"/>
  <c r="AR13" i="55"/>
  <c r="BE13" i="55" s="1"/>
  <c r="BF13" i="55" s="1"/>
  <c r="B20" i="54"/>
  <c r="B25" i="54" s="1"/>
  <c r="E134" i="54"/>
  <c r="E82" i="54"/>
  <c r="AR12" i="55"/>
  <c r="BE12" i="55" s="1"/>
  <c r="BF12" i="55" s="1"/>
  <c r="BC14" i="55"/>
  <c r="AB14" i="55"/>
  <c r="BE14" i="55" s="1"/>
  <c r="BF14" i="55" s="1"/>
  <c r="BG13" i="55"/>
  <c r="BG10" i="55"/>
  <c r="CE25" i="55" l="1"/>
  <c r="CJ24" i="55"/>
  <c r="AC18" i="55"/>
  <c r="BG18" i="55" s="1"/>
  <c r="BC18" i="55"/>
  <c r="BD18" i="55" s="1"/>
  <c r="AC11" i="55"/>
  <c r="BG11" i="55" s="1"/>
  <c r="BC11" i="55"/>
  <c r="BD13" i="55"/>
  <c r="BD14" i="55"/>
  <c r="CK14" i="55"/>
  <c r="CM14" i="55" s="1"/>
  <c r="CO14" i="55" s="1"/>
  <c r="CQ14" i="55" s="1"/>
  <c r="BC12" i="55"/>
  <c r="CI17" i="55"/>
  <c r="CK17" i="55" s="1"/>
  <c r="CM17" i="55" s="1"/>
  <c r="CO17" i="55" s="1"/>
  <c r="CQ17" i="55" s="1"/>
  <c r="B110" i="54"/>
  <c r="B112" i="54" s="1"/>
  <c r="B116" i="54" s="1"/>
  <c r="BG12" i="55"/>
  <c r="B143" i="54"/>
  <c r="CL10" i="55"/>
  <c r="CN10" i="55" s="1"/>
  <c r="CL13" i="55"/>
  <c r="CN13" i="55" s="1"/>
  <c r="CP13" i="55" s="1"/>
  <c r="CR13" i="55" s="1"/>
  <c r="CE26" i="55" l="1"/>
  <c r="CJ25" i="55"/>
  <c r="BD11" i="55"/>
  <c r="CK11" i="55"/>
  <c r="CM11" i="55" s="1"/>
  <c r="CO11" i="55" s="1"/>
  <c r="CQ11" i="55" s="1"/>
  <c r="CL11" i="55"/>
  <c r="CN11" i="55" s="1"/>
  <c r="CP11" i="55" s="1"/>
  <c r="CR11" i="55" s="1"/>
  <c r="BD12" i="55"/>
  <c r="CK12" i="55"/>
  <c r="CM12" i="55" s="1"/>
  <c r="CO12" i="55" s="1"/>
  <c r="CQ12" i="55" s="1"/>
  <c r="CI18" i="55"/>
  <c r="CK18" i="55" s="1"/>
  <c r="CM18" i="55" s="1"/>
  <c r="CO18" i="55" s="1"/>
  <c r="CQ18" i="55" s="1"/>
  <c r="CL15" i="55"/>
  <c r="CN15" i="55" s="1"/>
  <c r="CP15" i="55" s="1"/>
  <c r="CP10" i="55"/>
  <c r="CR10" i="55" s="1"/>
  <c r="CL12" i="55"/>
  <c r="CN12" i="55" s="1"/>
  <c r="CL14" i="55"/>
  <c r="BG14" i="55"/>
  <c r="CE27" i="55" l="1"/>
  <c r="CJ26" i="55"/>
  <c r="I5" i="55"/>
  <c r="J5" i="55" s="1"/>
  <c r="CS10" i="55"/>
  <c r="CN14" i="55"/>
  <c r="CP14" i="55" s="1"/>
  <c r="CR14" i="55" s="1"/>
  <c r="CI19" i="55"/>
  <c r="CK19" i="55" s="1"/>
  <c r="CM19" i="55" s="1"/>
  <c r="CO19" i="55" s="1"/>
  <c r="CP12" i="55"/>
  <c r="CR12" i="55" s="1"/>
  <c r="CR15" i="55"/>
  <c r="CL17" i="55"/>
  <c r="CN17" i="55" s="1"/>
  <c r="CP17" i="55" s="1"/>
  <c r="CL16" i="55"/>
  <c r="CN16" i="55" s="1"/>
  <c r="CP16" i="55" s="1"/>
  <c r="CE28" i="55" l="1"/>
  <c r="CJ27" i="55"/>
  <c r="CI20" i="55"/>
  <c r="CK20" i="55" s="1"/>
  <c r="CM20" i="55" s="1"/>
  <c r="CO20" i="55" s="1"/>
  <c r="CR16" i="55"/>
  <c r="CR17" i="55"/>
  <c r="CL18" i="55"/>
  <c r="CN18" i="55" s="1"/>
  <c r="CP18" i="55" s="1"/>
  <c r="CE29" i="55" l="1"/>
  <c r="CJ29" i="55" s="1"/>
  <c r="CJ28" i="55"/>
  <c r="CI21" i="55"/>
  <c r="CK21" i="55" s="1"/>
  <c r="CM21" i="55" s="1"/>
  <c r="CO21" i="55" s="1"/>
  <c r="CL19" i="55"/>
  <c r="CN19" i="55" s="1"/>
  <c r="CP19" i="55" s="1"/>
  <c r="CR19" i="55" s="1"/>
  <c r="CR18" i="55"/>
  <c r="CI22" i="55" l="1"/>
  <c r="CK22" i="55" s="1"/>
  <c r="CM22" i="55" s="1"/>
  <c r="CO22" i="55" s="1"/>
  <c r="CL20" i="55"/>
  <c r="CN20" i="55" s="1"/>
  <c r="CP20" i="55" s="1"/>
  <c r="CR20" i="55" s="1"/>
  <c r="CI23" i="55" l="1"/>
  <c r="CK23" i="55" s="1"/>
  <c r="CM23" i="55" s="1"/>
  <c r="CO23" i="55" s="1"/>
  <c r="CL21" i="55"/>
  <c r="CN21" i="55" s="1"/>
  <c r="CP21" i="55" s="1"/>
  <c r="CR21" i="55" s="1"/>
  <c r="CI24" i="55" l="1"/>
  <c r="CK24" i="55" s="1"/>
  <c r="CM24" i="55" s="1"/>
  <c r="CO24" i="55" s="1"/>
  <c r="CL22" i="55"/>
  <c r="CN22" i="55" s="1"/>
  <c r="CP22" i="55" s="1"/>
  <c r="CR22" i="55" s="1"/>
  <c r="CI25" i="55" l="1"/>
  <c r="CK25" i="55" s="1"/>
  <c r="CM25" i="55" s="1"/>
  <c r="CO25" i="55" s="1"/>
  <c r="CL23" i="55"/>
  <c r="CN23" i="55" s="1"/>
  <c r="CP23" i="55" s="1"/>
  <c r="CR23" i="55" s="1"/>
  <c r="CI26" i="55" l="1"/>
  <c r="CK26" i="55" s="1"/>
  <c r="CM26" i="55" s="1"/>
  <c r="CO26" i="55" s="1"/>
  <c r="CI28" i="55" l="1"/>
  <c r="CK28" i="55" s="1"/>
  <c r="CM28" i="55" s="1"/>
  <c r="CO28" i="55" s="1"/>
  <c r="CI29" i="55"/>
  <c r="CK29" i="55" s="1"/>
  <c r="CM29" i="55" s="1"/>
  <c r="CO29" i="55" s="1"/>
  <c r="CI27" i="55"/>
  <c r="CK27" i="55" s="1"/>
  <c r="CM27" i="55" s="1"/>
  <c r="CO27" i="55" s="1"/>
  <c r="CL26" i="55" l="1"/>
  <c r="CN26" i="55" s="1"/>
  <c r="CP26" i="55" s="1"/>
  <c r="CR26" i="55" s="1"/>
  <c r="CL27" i="55" l="1"/>
  <c r="CN27" i="55" s="1"/>
  <c r="CP27" i="55" s="1"/>
  <c r="CR27" i="55" s="1"/>
  <c r="CL29" i="55" l="1"/>
  <c r="CN29" i="55" s="1"/>
  <c r="CP29" i="55" s="1"/>
  <c r="CR29" i="55" s="1"/>
  <c r="P5" i="55" l="1"/>
  <c r="CT10"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Adriana Torchelo</author>
  </authors>
  <commentList>
    <comment ref="W37" authorId="0" shapeId="0" xr:uid="{5D3CDC5C-83E0-4115-A9F0-E250F8AFEFD3}">
      <text>
        <r>
          <rPr>
            <b/>
            <sz val="9"/>
            <color indexed="81"/>
            <rFont val="Tahoma"/>
            <family val="2"/>
          </rPr>
          <t>Adriana Torchelo:</t>
        </r>
        <r>
          <rPr>
            <sz val="9"/>
            <color indexed="81"/>
            <rFont val="Tahoma"/>
            <family val="2"/>
          </rPr>
          <t xml:space="preserve">
UTE EN CIFRAS 2020; 6. PRECIO MEDIO DE VENTA EN EL MERCADO INTERNO; https://portal.ute.com.uy/sites/default/files/generico/UTE_en_Cifras_2020_TRIPTICO_20210511.pdf</t>
        </r>
      </text>
    </comment>
    <comment ref="AM37" authorId="0" shapeId="0" xr:uid="{DBD2D9DF-9592-4297-A451-32FCB520477D}">
      <text>
        <r>
          <rPr>
            <b/>
            <sz val="9"/>
            <color indexed="81"/>
            <rFont val="Tahoma"/>
            <family val="2"/>
          </rPr>
          <t>Adriana Torchelo:</t>
        </r>
        <r>
          <rPr>
            <sz val="9"/>
            <color indexed="81"/>
            <rFont val="Tahoma"/>
            <family val="2"/>
          </rPr>
          <t xml:space="preserve">
UTE EN CIFRAS 2020; 6. PRECIO MEDIO DE VENTA EN EL MERCADO INTERNO; https://portal.ute.com.uy/sites/default/files/generico/UTE_en_Cifras_2020_TRIPTICO_20210511.pdf</t>
        </r>
      </text>
    </comment>
    <comment ref="W44" authorId="0" shapeId="0" xr:uid="{2EB3684B-D48A-4F00-BA80-5A3DBA27BFFD}">
      <text>
        <r>
          <rPr>
            <sz val="9"/>
            <color indexed="81"/>
            <rFont val="Tahoma"/>
            <family val="2"/>
          </rPr>
          <t>Gasolina Super 95 30S; Precios máximos de venta al público (PVP) de combustibles ANCAP 2021 (Decreto 245/021, 30/07/2021)</t>
        </r>
      </text>
    </comment>
    <comment ref="AM44" authorId="0" shapeId="0" xr:uid="{A65053A3-3C40-45FC-9C5F-A8991D3D033C}">
      <text>
        <r>
          <rPr>
            <sz val="9"/>
            <color indexed="81"/>
            <rFont val="Tahoma"/>
            <family val="2"/>
          </rPr>
          <t>Tarifa residencial triple horario, valle. Similar a MC valle, Pliego UTE 2021</t>
        </r>
      </text>
    </comment>
    <comment ref="W48" authorId="0" shapeId="0" xr:uid="{6CA87BD0-8532-4EE2-AAD7-82056F3A75C1}">
      <text>
        <r>
          <rPr>
            <b/>
            <sz val="9"/>
            <color indexed="81"/>
            <rFont val="Tahoma"/>
            <family val="2"/>
          </rPr>
          <t>Adriana Torchelo:</t>
        </r>
        <r>
          <rPr>
            <sz val="9"/>
            <color indexed="81"/>
            <rFont val="Tahoma"/>
            <family val="2"/>
          </rPr>
          <t xml:space="preserve">
Para post implementación de MMEE</t>
        </r>
      </text>
    </comment>
  </commentList>
</comments>
</file>

<file path=xl/sharedStrings.xml><?xml version="1.0" encoding="utf-8"?>
<sst xmlns="http://schemas.openxmlformats.org/spreadsheetml/2006/main" count="1754" uniqueCount="565">
  <si>
    <t>Carbón mineral</t>
  </si>
  <si>
    <t>MC1</t>
  </si>
  <si>
    <t>MC2</t>
  </si>
  <si>
    <t>MC3</t>
  </si>
  <si>
    <t>GC1</t>
  </si>
  <si>
    <t>GC2</t>
  </si>
  <si>
    <t>GC3</t>
  </si>
  <si>
    <t>GC4</t>
  </si>
  <si>
    <t>GC5</t>
  </si>
  <si>
    <t>Tarifa General Simple</t>
  </si>
  <si>
    <t>Valor</t>
  </si>
  <si>
    <t>kWh</t>
  </si>
  <si>
    <t>Final de esta hoja</t>
  </si>
  <si>
    <t>Tarifa Residencial Simple</t>
  </si>
  <si>
    <t>Tarifa doble horario alumbrado público</t>
  </si>
  <si>
    <t>l</t>
  </si>
  <si>
    <t>m3</t>
  </si>
  <si>
    <t>Seleccione</t>
  </si>
  <si>
    <t>Unidad física</t>
  </si>
  <si>
    <t>Departamento</t>
  </si>
  <si>
    <t>Consumo de energía</t>
  </si>
  <si>
    <t>Fuente de energía</t>
  </si>
  <si>
    <t>$/unidad física</t>
  </si>
  <si>
    <t>Valor (tep/año)</t>
  </si>
  <si>
    <t>Valor 
($/año)</t>
  </si>
  <si>
    <t>Vida útil (años)</t>
  </si>
  <si>
    <t>RESULTADOS</t>
  </si>
  <si>
    <t>Artigas</t>
  </si>
  <si>
    <t>Canelones</t>
  </si>
  <si>
    <t>Cerro Largo</t>
  </si>
  <si>
    <t>Colonia</t>
  </si>
  <si>
    <t>Durazno</t>
  </si>
  <si>
    <t>Flores</t>
  </si>
  <si>
    <t>Florida</t>
  </si>
  <si>
    <t>Lavalleja</t>
  </si>
  <si>
    <t>Maldonado</t>
  </si>
  <si>
    <t>Montevideo</t>
  </si>
  <si>
    <t>Paysandú</t>
  </si>
  <si>
    <t>Río Negro</t>
  </si>
  <si>
    <t>Rivera</t>
  </si>
  <si>
    <t>Rocha</t>
  </si>
  <si>
    <t>Salto</t>
  </si>
  <si>
    <t>San José</t>
  </si>
  <si>
    <t>Soriano</t>
  </si>
  <si>
    <t>Tacuarembó</t>
  </si>
  <si>
    <t>Treinta y Tres</t>
  </si>
  <si>
    <t>Leña</t>
  </si>
  <si>
    <t>Aserrín</t>
  </si>
  <si>
    <t>Residuos forestales</t>
  </si>
  <si>
    <t>Bagazo</t>
  </si>
  <si>
    <t>Carbón vegetal</t>
  </si>
  <si>
    <t>Cáscara de arroz</t>
  </si>
  <si>
    <t>Cáscara de girasol</t>
  </si>
  <si>
    <t>Casullo de cebada</t>
  </si>
  <si>
    <t>Licor negro</t>
  </si>
  <si>
    <t>Biodiesel</t>
  </si>
  <si>
    <t>Bioetanol</t>
  </si>
  <si>
    <t>Valor 
(unidad física/año)</t>
  </si>
  <si>
    <t>Grado de Implementación</t>
  </si>
  <si>
    <t>Escenario antes de la medida</t>
  </si>
  <si>
    <t>Escenario con medida</t>
  </si>
  <si>
    <t>Condición de Eficiencia Energética</t>
  </si>
  <si>
    <t>PONDERADORES CEE</t>
  </si>
  <si>
    <t>Descentralización</t>
  </si>
  <si>
    <t>Ponderador</t>
  </si>
  <si>
    <t>Fuentes renovables no tradicionales</t>
  </si>
  <si>
    <t>Solar térmica (NO exigida por Ley 18.585)</t>
  </si>
  <si>
    <t>Fotovoltaica (potencia &lt; 4kW)</t>
  </si>
  <si>
    <t>Fotovoltaica (potencia entre 4kW y 20kW)</t>
  </si>
  <si>
    <t>Transporte</t>
  </si>
  <si>
    <t>Protocolo IPMVP</t>
  </si>
  <si>
    <t>Si</t>
  </si>
  <si>
    <t>Fuente</t>
  </si>
  <si>
    <t>Tipo</t>
  </si>
  <si>
    <t>No</t>
  </si>
  <si>
    <t>Si/No</t>
  </si>
  <si>
    <t>AA_Mi,j * P_in
(tep/año)</t>
  </si>
  <si>
    <t>CEE</t>
  </si>
  <si>
    <t>Precio del energético</t>
  </si>
  <si>
    <t>Grado de implementación</t>
  </si>
  <si>
    <t>Diagnóstico</t>
  </si>
  <si>
    <t>En implementación</t>
  </si>
  <si>
    <t>En operación</t>
  </si>
  <si>
    <t>NO MODIFIQUE EL FORMULARIO. SI LO HACE, LA POSTULACIÓN SERÁ AUTOMÁTICAMENTE DESCALIFICADA</t>
  </si>
  <si>
    <t>Fuente de energía 2</t>
  </si>
  <si>
    <t>Electricidad de la red</t>
  </si>
  <si>
    <t>Unidades</t>
  </si>
  <si>
    <t>Queroseno</t>
  </si>
  <si>
    <t>Supergás</t>
  </si>
  <si>
    <t>tep/t</t>
  </si>
  <si>
    <t>Unidad</t>
  </si>
  <si>
    <t>P_in</t>
  </si>
  <si>
    <t>¿Medida de sustitución de fuentes tradicionales por biomasa comprada?</t>
  </si>
  <si>
    <t>¿Sustitución de fuentes tradicionales por biomasa?</t>
  </si>
  <si>
    <t>Residencial</t>
  </si>
  <si>
    <t>Paneles solares térmicos</t>
  </si>
  <si>
    <t>USD</t>
  </si>
  <si>
    <t>Inversión total</t>
  </si>
  <si>
    <t>1.</t>
  </si>
  <si>
    <t>2.</t>
  </si>
  <si>
    <t>3.</t>
  </si>
  <si>
    <t>4.</t>
  </si>
  <si>
    <t>5.</t>
  </si>
  <si>
    <t>tep/l</t>
  </si>
  <si>
    <t>tep/kWh</t>
  </si>
  <si>
    <t>t</t>
  </si>
  <si>
    <t>Chips</t>
  </si>
  <si>
    <t>PCI</t>
  </si>
  <si>
    <t>Coque de carbón</t>
  </si>
  <si>
    <t>Coque de petróleo</t>
  </si>
  <si>
    <t>Coque de petróleo importado</t>
  </si>
  <si>
    <t>Gas natural</t>
  </si>
  <si>
    <t>Gasolina aviación 100/130</t>
  </si>
  <si>
    <t>Propano</t>
  </si>
  <si>
    <t>Fuente de la energía</t>
  </si>
  <si>
    <t>GLP</t>
  </si>
  <si>
    <t>Gasoil 50S</t>
  </si>
  <si>
    <t>Gasoil 10S</t>
  </si>
  <si>
    <t>Gasolina premium 97 30SP</t>
  </si>
  <si>
    <t>Gasolina super 95 30SP</t>
  </si>
  <si>
    <t>FE CO2 (tCO2/tep)</t>
  </si>
  <si>
    <t>Solar térmica (exigida por Ley 18.585)</t>
  </si>
  <si>
    <t>Fotovoltaica (potencia &gt; 20kW)</t>
  </si>
  <si>
    <t>Pellets de madera</t>
  </si>
  <si>
    <t>Emisiones CO2</t>
  </si>
  <si>
    <t>Postulación</t>
  </si>
  <si>
    <t>Premio Nacional de EE</t>
  </si>
  <si>
    <t>Mención</t>
  </si>
  <si>
    <t>Ganador</t>
  </si>
  <si>
    <t>Postulante aceptado</t>
  </si>
  <si>
    <t>UYU</t>
  </si>
  <si>
    <t>UYU/unidad física</t>
  </si>
  <si>
    <t>Valor 
(UYU/año)</t>
  </si>
  <si>
    <t>Ahorro monetario anual (UYU/año)</t>
  </si>
  <si>
    <t>UYU/kWh</t>
  </si>
  <si>
    <t>UYU/l</t>
  </si>
  <si>
    <t>AT_Mi (tep)
PONDERADA</t>
  </si>
  <si>
    <t>CEE (UYU)
SIN TOPES</t>
  </si>
  <si>
    <t>Tarifa de alumbrado público (conexiones con medidor)</t>
  </si>
  <si>
    <t>T descuento social</t>
  </si>
  <si>
    <t>Precio CEE</t>
  </si>
  <si>
    <t xml:space="preserve">AT_Mi (tep) </t>
  </si>
  <si>
    <t>INSTRUCCIONES PARA COMPLETAR LA HOJA MMEE</t>
  </si>
  <si>
    <t>Tarifa General hora-estacional</t>
  </si>
  <si>
    <t>Certificados de Eficiencia Energética</t>
  </si>
  <si>
    <t>Beneficiario de 1 convocatoria</t>
  </si>
  <si>
    <t>Beneficiario de 2 convocatorias</t>
  </si>
  <si>
    <t>Beneficiario de 3 convocatorias</t>
  </si>
  <si>
    <t>MMEE con AT_Mi &lt; 100 tep</t>
  </si>
  <si>
    <t>Aplicación del IPMVP</t>
  </si>
  <si>
    <t>Total</t>
  </si>
  <si>
    <t>MMEE estandarizada</t>
  </si>
  <si>
    <t>ANÁLISIS CEE EN MEDIDAS ESTANDARIZADAS</t>
  </si>
  <si>
    <t>Campos para completar por el postulante</t>
  </si>
  <si>
    <t>Parámetro</t>
  </si>
  <si>
    <t>Fuente/Comentarios</t>
  </si>
  <si>
    <t>Cantidad de paneles solares</t>
  </si>
  <si>
    <t>Inversion ($U)</t>
  </si>
  <si>
    <t>kWh/año</t>
  </si>
  <si>
    <t xml:space="preserve">AA_Mi,j (tep/año) </t>
  </si>
  <si>
    <t>tep/año</t>
  </si>
  <si>
    <t>Vida útil</t>
  </si>
  <si>
    <t>años</t>
  </si>
  <si>
    <t>Tasa de descuento</t>
  </si>
  <si>
    <t>Ahorro en vida útil</t>
  </si>
  <si>
    <t>tep</t>
  </si>
  <si>
    <t xml:space="preserve">kWh </t>
  </si>
  <si>
    <t>Similar a valor de "white certificates" de Francia: rango de 6400 a 10000 según zona climática</t>
  </si>
  <si>
    <t>Condición de eficiencia energética</t>
  </si>
  <si>
    <t>Ponderador Solar térmica</t>
  </si>
  <si>
    <t>Ponderador descentralización</t>
  </si>
  <si>
    <t xml:space="preserve"> AT_Mi actualizada y ponderada (tep) </t>
  </si>
  <si>
    <t>Precio CEE ($U/tep)</t>
  </si>
  <si>
    <t>$U/tep</t>
  </si>
  <si>
    <t>$U/cliente</t>
  </si>
  <si>
    <t>Calculado</t>
  </si>
  <si>
    <t>Beneficio Plan solar</t>
  </si>
  <si>
    <t>700 $U/mes + IVA durante 2 años</t>
  </si>
  <si>
    <t>Cantidad de equipos (paneles FV, aerogeneradores, etc.)</t>
  </si>
  <si>
    <t>Potencia unitaria</t>
  </si>
  <si>
    <t>kWe</t>
  </si>
  <si>
    <t>Estimado</t>
  </si>
  <si>
    <t>Factor capacidad</t>
  </si>
  <si>
    <t>%</t>
  </si>
  <si>
    <t>Ahorro anual total</t>
  </si>
  <si>
    <t>Ponderador solar fotovoltaica/aerogeneradores &lt; 4 kWe</t>
  </si>
  <si>
    <t>UYU/tep</t>
  </si>
  <si>
    <t>Cantidad de luminarias</t>
  </si>
  <si>
    <t>Potencia unitaria de la medida</t>
  </si>
  <si>
    <t>watt</t>
  </si>
  <si>
    <t>Potencia unitaria línea de base</t>
  </si>
  <si>
    <t>Se asume LB = LFC equivalente a lámpara incandescente de 60 watts</t>
  </si>
  <si>
    <t>Horas de uso/día</t>
  </si>
  <si>
    <t>Cantidad</t>
  </si>
  <si>
    <t>Ahorro consumo calefón clase A</t>
  </si>
  <si>
    <t>Recambio de refrigerador</t>
  </si>
  <si>
    <t>Ahorro refrigerador clase A</t>
  </si>
  <si>
    <t xml:space="preserve">Un poco por debajo de valor de "white certificates" de Francia = </t>
  </si>
  <si>
    <t>Recambio aire acondicionado</t>
  </si>
  <si>
    <t>kwh/mes-hora</t>
  </si>
  <si>
    <t>Tipo de consumidor de UTE</t>
  </si>
  <si>
    <t>Consumo total anual de energía (tep/año)</t>
  </si>
  <si>
    <t>Gestión de la Energía</t>
  </si>
  <si>
    <t>Ponderador de Género abierto por sub-ponderadores</t>
  </si>
  <si>
    <t>Componente de Género</t>
  </si>
  <si>
    <t>LISTAS DESPLEGABLES</t>
  </si>
  <si>
    <t>Gestión de la energía</t>
  </si>
  <si>
    <t>Sin certificar o con certificación no vigente </t>
  </si>
  <si>
    <t>Certificación ISO 14.001 vigente con indicadores de gestión de la energía</t>
  </si>
  <si>
    <t>Certificación ISO 50.0001 vigente</t>
  </si>
  <si>
    <t>Ahorros totales de energía (tep)</t>
  </si>
  <si>
    <t>Tarifa Residencial doble horario</t>
  </si>
  <si>
    <t>Consumo de energía (unidad física/año)</t>
  </si>
  <si>
    <t>Micro generación con EERR para autoconsumo conectada a la red</t>
  </si>
  <si>
    <t>LB - Consumo medio 1 calefón clase B</t>
  </si>
  <si>
    <t>LB - Consumo medio refrigeración+calefacción 1 AA</t>
  </si>
  <si>
    <t>P - Consumo de energía de 1 AA clase A</t>
  </si>
  <si>
    <t>P - Consumo medio 1 calefón clase A</t>
  </si>
  <si>
    <t>P - Consumo = 0</t>
  </si>
  <si>
    <t>LB - Consumo = generación renovable</t>
  </si>
  <si>
    <t>LB - Consumo línea de base por unidad</t>
  </si>
  <si>
    <t>P - Consumo del proyecto por unidad</t>
  </si>
  <si>
    <t>Días de uso/semana</t>
  </si>
  <si>
    <t>horas/día</t>
  </si>
  <si>
    <t>días/semana</t>
  </si>
  <si>
    <t>Semanas de uso/año</t>
  </si>
  <si>
    <t>LB - Consumo por unidad</t>
  </si>
  <si>
    <t>P - Consumo por unidad</t>
  </si>
  <si>
    <t>semanas/año</t>
  </si>
  <si>
    <t>LB - Consumo específico vehículo a combustión</t>
  </si>
  <si>
    <t>l/km</t>
  </si>
  <si>
    <t>kWh/km</t>
  </si>
  <si>
    <t>P - Consumo específico vehículo eléctrico</t>
  </si>
  <si>
    <t>LB - Consumo vehículo a combustión</t>
  </si>
  <si>
    <t>P - Consumo vehículo eléctrico</t>
  </si>
  <si>
    <t>l/año</t>
  </si>
  <si>
    <t>El taxi eléctrico en Montevideo, Evaluación de la experiencia, Dic15-Mar16; UTE</t>
  </si>
  <si>
    <t>km/día</t>
  </si>
  <si>
    <t>km/l</t>
  </si>
  <si>
    <t>Fecha de inicio de operación 
(dd/mm/aaaa)</t>
  </si>
  <si>
    <t>Información particular de cada MMEE</t>
  </si>
  <si>
    <t>Potencia de cada panel fotovoltaico instalado (kW)</t>
  </si>
  <si>
    <t>Kms recorridos por día</t>
  </si>
  <si>
    <t>Capacidad de refrigeración</t>
  </si>
  <si>
    <t>BTU/h</t>
  </si>
  <si>
    <t>Capacidad de refrigeración por equipo (BTU/h)</t>
  </si>
  <si>
    <t>días/año</t>
  </si>
  <si>
    <t>Días recorridos por año</t>
  </si>
  <si>
    <t>Debe seleccionar la información que corresponda en las celdas en gris y completar todas las celdas en blanco (a no ser que se indique expresamente que no se requiere información (ej.: columna "I" según tipo de MMEE)).</t>
  </si>
  <si>
    <t xml:space="preserve">Las celdas de otros colores corresponden a cálculos automáticos. </t>
  </si>
  <si>
    <t>2 m2/panel</t>
  </si>
  <si>
    <t>MEDIDAS DE EFICIENCIA ENERGÉTICA (MMEE) ESTANDARIZADAS</t>
  </si>
  <si>
    <t>PONDERADOR DE COMPONENTE DE GÉNERO</t>
  </si>
  <si>
    <t>Criterios que conforman el ponderador de Género</t>
  </si>
  <si>
    <t>Respuesta</t>
  </si>
  <si>
    <t>Nombre del/los documento/s de referencia</t>
  </si>
  <si>
    <t>Requisitos de documentación de referencia a presentar</t>
  </si>
  <si>
    <t>Links de acceso a información sobre los ítems evaluados</t>
  </si>
  <si>
    <t>Segregación vertical</t>
  </si>
  <si>
    <t>1) Participación de personas del género femenino en cargos de responsabilidad (nivel de Dirección y Gerencia) dentro de la organización</t>
  </si>
  <si>
    <t>-</t>
  </si>
  <si>
    <t>Gestión recursos humanos</t>
  </si>
  <si>
    <t>2) ¿ La organización cuenta con un protocolo de atención a casos de acoso sexual en el ámbito laboral?</t>
  </si>
  <si>
    <t xml:space="preserve">3) ¿La organización ha desarrollado instancia(s) de sensibilización y/o capacitación en género y/o violencia basada en género (por ejemplo acoso sexual en el ámbito laboral)? </t>
  </si>
  <si>
    <t>4) ¿La organización está adherida a alguna herramienta de gestión y cambio organizacional con equidad de género (WEPs - Principios para el Empoderamiento de las Mujeres o MCEG (Modelo de Calidad con Equidad de Género)?
Nota: si ha adherido a WEPs y a MCEG, sólo se contabiliza MCEG.</t>
  </si>
  <si>
    <t>http://www.inmujeres.gub.uy/75652/modelo-de-calidad-con-equidad-de-genero
http://www.inmujeres.gub.uy/innovaportal/file/75652/1/version-final-final-modelo-dic2017.pdf 
www.weprinciples.org    </t>
  </si>
  <si>
    <t xml:space="preserve">3. Acceso a la organización </t>
  </si>
  <si>
    <t>Adjuntar las publicaciones de los últimos 10 llamados realizados en los ultimos 3 años. 
Si en los últimos 3 años realizó menos de 10 llamados, incorpore años anteriores hasta completar 10 llamados.</t>
  </si>
  <si>
    <t>Ponderador de Género</t>
  </si>
  <si>
    <t>Participación personas</t>
  </si>
  <si>
    <t xml:space="preserve">30% - 49% </t>
  </si>
  <si>
    <r>
      <rPr>
        <sz val="11"/>
        <color theme="1"/>
        <rFont val="Calibri"/>
        <family val="2"/>
      </rPr>
      <t>≥</t>
    </r>
    <r>
      <rPr>
        <sz val="9"/>
        <color theme="1"/>
        <rFont val="Calibri"/>
        <family val="2"/>
      </rPr>
      <t xml:space="preserve"> </t>
    </r>
    <r>
      <rPr>
        <sz val="11"/>
        <color theme="1"/>
        <rFont val="Calibri"/>
        <family val="2"/>
      </rPr>
      <t>50%</t>
    </r>
  </si>
  <si>
    <t>Protocolo acoso</t>
  </si>
  <si>
    <t>Sensibilización/capacitación</t>
  </si>
  <si>
    <t>WEPs/MCEG</t>
  </si>
  <si>
    <t>Adhesión a WEPs</t>
  </si>
  <si>
    <t xml:space="preserve">Adhesión al MCEG </t>
  </si>
  <si>
    <t>Cuidado personas</t>
  </si>
  <si>
    <t>Llamados</t>
  </si>
  <si>
    <t>PONDERADOR DE SISTEMA DE GESTIÓN DE LA ENERGÍA</t>
  </si>
  <si>
    <t>Criterios que conforman el ponderador</t>
  </si>
  <si>
    <t>Sistema de gestión de la energía sin certificar o con certificación no vigente </t>
  </si>
  <si>
    <t>Plan de Gestión de la Energía y auditoría interna o externa con hasta 1 año de antigüedad</t>
  </si>
  <si>
    <t xml:space="preserve">Sistema de gestión ambiental ISO 14.001 con indicadores de gestión de la energía y certificación vigente </t>
  </si>
  <si>
    <t>Certificación ISO 14.0001 vigente y Plan de Gestión Ambiental u otra documentación del sistema de gestión donde consten los indicadores de energía gestionados por la empresa/institución</t>
  </si>
  <si>
    <t>Sistema de gestión de la energía ISO 50.001 con certificación vigente</t>
  </si>
  <si>
    <t>DATOS DE LA/S INSTALACION/ES DONDE SE IMPLEMENTARON LAS MMEE</t>
  </si>
  <si>
    <t>NO MODIFIQUE EL FORMULARIO. SI LO HACE, LA POSTULACIÓN SERÁ AUTOMÁTICAMENTE DESCALIFICADA.</t>
  </si>
  <si>
    <r>
      <rPr>
        <b/>
        <sz val="12"/>
        <rFont val="Calibri"/>
        <family val="2"/>
      </rPr>
      <t xml:space="preserve">Instrucciones: </t>
    </r>
    <r>
      <rPr>
        <sz val="12"/>
        <rFont val="Calibri"/>
        <family val="2"/>
      </rPr>
      <t xml:space="preserve">Completar todas las celdas en blanco y seleccionar la información que corresponda en las celdas en gris. Las celdas de otros colores corresponden a cálculos automáticos. </t>
    </r>
  </si>
  <si>
    <t xml:space="preserve">Importante: </t>
  </si>
  <si>
    <r>
      <t xml:space="preserve">Consumo de energía eléctrica de la red </t>
    </r>
    <r>
      <rPr>
        <b/>
        <sz val="11"/>
        <color theme="1"/>
        <rFont val="Calibri"/>
        <family val="2"/>
      </rPr>
      <t>(kWh/año)</t>
    </r>
  </si>
  <si>
    <t>Energía eléctrica autoconsumida (si aplica)</t>
  </si>
  <si>
    <t>Consumo de otras fuentes de energía (1)</t>
  </si>
  <si>
    <t>Consumo de otras fuentes de energía (2)</t>
  </si>
  <si>
    <t>Consumo de otras fuentes de energía (3)</t>
  </si>
  <si>
    <t>Consumo de otras fuentes de energía (4)</t>
  </si>
  <si>
    <t>Valor (kWh/año)</t>
  </si>
  <si>
    <t>Fuente de energía 1</t>
  </si>
  <si>
    <t xml:space="preserve">Unidad </t>
  </si>
  <si>
    <t>Fuente de energía 3</t>
  </si>
  <si>
    <t>Fuente de energía 4</t>
  </si>
  <si>
    <t>Energía eléctrica autogenerada</t>
  </si>
  <si>
    <t>Biomasa</t>
  </si>
  <si>
    <t>Vehículos eléctricos puros con batería de litio o superior densidad de energía gravimétrica</t>
  </si>
  <si>
    <t>Biocombustibles para sustitución de combustibles fósiles (no exigidos por Ley)</t>
  </si>
  <si>
    <t xml:space="preserve">Manejo eficiente </t>
  </si>
  <si>
    <t>Recambio por tecnología más eficiente</t>
  </si>
  <si>
    <t>Eólica</t>
  </si>
  <si>
    <t>Otro</t>
  </si>
  <si>
    <t>Tarifa Residencial de consumo básico (TCB)</t>
  </si>
  <si>
    <t>Hidráulica</t>
  </si>
  <si>
    <t>Fotovoltaica</t>
  </si>
  <si>
    <t>Fuente primaria</t>
  </si>
  <si>
    <t>Tarifa Residencial triple horario</t>
  </si>
  <si>
    <t>TZ1</t>
  </si>
  <si>
    <t>TZ2</t>
  </si>
  <si>
    <t>TZ3</t>
  </si>
  <si>
    <t>Tarifa de alumbrado público (conexiones sin medidor)</t>
  </si>
  <si>
    <t>Tarifa de movilidad eléctrica</t>
  </si>
  <si>
    <t>Importante: los resultados son preliminares e indicativos y están sujetos a la revisión de los técnicos y Agentes Certificadores del MIEM.</t>
  </si>
  <si>
    <t>Micro empresa</t>
  </si>
  <si>
    <t>Pequeña empresa</t>
  </si>
  <si>
    <t>CEE por Residencial</t>
  </si>
  <si>
    <t>Se asume 1 pero aplica ponderador de descentralización</t>
  </si>
  <si>
    <t>CEE/INV Residencial</t>
  </si>
  <si>
    <t>Ponderador Residencial</t>
  </si>
  <si>
    <t>Se hace ejemplo para residencial pero en MMEE se aplica ponderador mipes tbm</t>
  </si>
  <si>
    <t>1,800 USD/kW</t>
  </si>
  <si>
    <t>1.500 USD/panel</t>
  </si>
  <si>
    <t>Ahorro anual  ($U/año)</t>
  </si>
  <si>
    <t>$U/kWh</t>
  </si>
  <si>
    <t>Costo electricidad</t>
  </si>
  <si>
    <t>UYU/año</t>
  </si>
  <si>
    <t>Vida útil máxima MIEM</t>
  </si>
  <si>
    <t>Vida útil media de equipos en mercado (Parque/Ventas)</t>
  </si>
  <si>
    <t>CEE por Residencial ($U)</t>
  </si>
  <si>
    <t>Lámparas LED</t>
  </si>
  <si>
    <t>Tubos LED</t>
  </si>
  <si>
    <t>Recambio de termotanque eléctrico</t>
  </si>
  <si>
    <t>Mejora en eficiencia termotanque B a A en función de promedio ponderado de resultados de ensayos de URSEA de todos los termotanques en plaza y % ventas en función de capacidad nominal</t>
  </si>
  <si>
    <t>Según datos seguimiento 2012-2018, en 2018 80% ventas fueron refrigeradores entre 100 y 300 litros. Se toma promedio de 200 litros como referencia</t>
  </si>
  <si>
    <t>LB - Consumo promedio 1 refrigerador clase B</t>
  </si>
  <si>
    <t>P - Consumo promedio 1 refrigerador clase A</t>
  </si>
  <si>
    <t>Promedio ponderado de ensayos URSEA para refrigeradores de todas las capacidades (l) clase A, y la distribución de ventas por tamaño según seguimiento 2018</t>
  </si>
  <si>
    <t xml:space="preserve">Cross-check: Si se hace cálculo en función de promedio ponderado de ensayos URSEA y ventas para Clase A da 841 kWh/año. </t>
  </si>
  <si>
    <t xml:space="preserve">Cálculo en función de consumo medio hogar uruguayo y % consumo termotanque. Cross check: Si se hace cálculo en función de promedio ponderado de ensayos URSEA y ventas para Clase A da 912 kWh/año. </t>
  </si>
  <si>
    <t>Promedio ponderado de ensayos URSEA para refrigeradores de todas las capacidades (l) clase B, y la distribución de ventas por tamaño según seguimiento 2018</t>
  </si>
  <si>
    <t>Consumo medio refrigeración 1 AA clase A</t>
  </si>
  <si>
    <t>Consumo medio calefacción 1 AA clase A</t>
  </si>
  <si>
    <t>Consumo medio refrigeración 1 AA en LB (clase C)</t>
  </si>
  <si>
    <t>Consumo medio calefacción 1 AA en LB (clase C)</t>
  </si>
  <si>
    <t>11% mejora eficiencia</t>
  </si>
  <si>
    <t>47% de las ventas</t>
  </si>
  <si>
    <t>Volumen neto o capacidad nominal de refrigeración (litros)</t>
  </si>
  <si>
    <t>Capacidad nominal (litros)</t>
  </si>
  <si>
    <t>Cantidad de unidades</t>
  </si>
  <si>
    <t>Superficie por panel (m2)
Aclaración: se asume 2 m2 por unidad informada en columna "L".</t>
  </si>
  <si>
    <t>Potencia de cada lámpara  LED (watts)</t>
  </si>
  <si>
    <t>Potencia de cada tubo LED (watts)</t>
  </si>
  <si>
    <t>$U</t>
  </si>
  <si>
    <t>Inversión</t>
  </si>
  <si>
    <t>Inversión eléctrico</t>
  </si>
  <si>
    <t>Inversión combustión interna</t>
  </si>
  <si>
    <t>Chevrolet Onix; https://www.autoblog.com.uy/2020/03/lanzamiento-chevrolet-onix-y-onix-plus.html</t>
  </si>
  <si>
    <t>JAC S2; https://www.autoblog.com.uy/2018/06/lanzamiento-jac-s2-electrico.html</t>
  </si>
  <si>
    <t>km/kWh</t>
  </si>
  <si>
    <t>Referencia: ensayo Chile Chevrolet Onix; http://www.consumovehicular.cl/#/</t>
  </si>
  <si>
    <t>Referencia: ensayos Chile JAC S2; http://www.consumovehicular.cl/#/</t>
  </si>
  <si>
    <t>Costo gasolina</t>
  </si>
  <si>
    <t>$U/litro</t>
  </si>
  <si>
    <t>Ponderador vehículo eléctrico</t>
  </si>
  <si>
    <t>Ponderador máximo</t>
  </si>
  <si>
    <t>Tarifa residencial triple horario, valle. Similar a MC valle</t>
  </si>
  <si>
    <t>% consumo hogar sin termotanque</t>
  </si>
  <si>
    <t>Costo electricidad con IVA</t>
  </si>
  <si>
    <t>kwh/mes</t>
  </si>
  <si>
    <t>kWh/h</t>
  </si>
  <si>
    <t xml:space="preserve">Costo electricidad con IVA </t>
  </si>
  <si>
    <t>FusoRefrig.</t>
  </si>
  <si>
    <t>FusoCalef</t>
  </si>
  <si>
    <t>Hip2</t>
  </si>
  <si>
    <t>Uso(hs/dia)</t>
  </si>
  <si>
    <t>MesesEqUso</t>
  </si>
  <si>
    <t>conFuso</t>
  </si>
  <si>
    <t>Hip1</t>
  </si>
  <si>
    <t>HsUsoEq anio</t>
  </si>
  <si>
    <t>mas logico (da igual)</t>
  </si>
  <si>
    <t>H2+Huso (anio)</t>
  </si>
  <si>
    <t>Suma (anual)</t>
  </si>
  <si>
    <t>Porcentaje (hogar medio UTE)</t>
  </si>
  <si>
    <t>Con hogares</t>
  </si>
  <si>
    <t>horas</t>
  </si>
  <si>
    <t>Promedio ponderado ensayos URSEA clase C (BAU por ventas 2018) y % ventas por capacidad. Se asume uso de 720 horas/año y factor de uso para refrigeración de 0,912</t>
  </si>
  <si>
    <t>Promedio ponderado ensayos URSEA clase C y % ventas por capacidad. Se asume uso de 720 horas/año y factor de uso para calefacción de 0,649</t>
  </si>
  <si>
    <t>Promedio ponderado ensayos URSEA clase A y % ventas por capacidad. Se asume uso de 720 horas/año y factor de uso para refrigeración de 0,912</t>
  </si>
  <si>
    <t>Promedio ponderado ensayos URSEA clase A y % ventas por capacidad. Se asume uso de 720 horas/año y factor de uso para calefacción de 0,649</t>
  </si>
  <si>
    <t>No considerar</t>
  </si>
  <si>
    <t>Pinc_eq</t>
  </si>
  <si>
    <t>W</t>
  </si>
  <si>
    <t>Flujo medio</t>
  </si>
  <si>
    <t>lm</t>
  </si>
  <si>
    <t>Lamp</t>
  </si>
  <si>
    <t>Tubos</t>
  </si>
  <si>
    <t>Vida</t>
  </si>
  <si>
    <t>Eficacia</t>
  </si>
  <si>
    <t>Peq</t>
  </si>
  <si>
    <t>INC</t>
  </si>
  <si>
    <t>LFC</t>
  </si>
  <si>
    <t>LED</t>
  </si>
  <si>
    <t>Vutil rec(kh)</t>
  </si>
  <si>
    <t>DP</t>
  </si>
  <si>
    <t>Esimple(kWh)</t>
  </si>
  <si>
    <t>UsoDiario</t>
  </si>
  <si>
    <t>Uso</t>
  </si>
  <si>
    <t>10hs</t>
  </si>
  <si>
    <t>Consumo promedio hogar uruguayo</t>
  </si>
  <si>
    <t>Cálculo en función de consumo medio mensual de 1 calefón de 60 litros clase A, URSEA</t>
  </si>
  <si>
    <t>Triciclo “cititrix” de Mobility (pruebas de Movés); https://mobility.uy/citytrix/#%20</t>
  </si>
  <si>
    <t>Moto 4 tiempos, cilindrada menor a 250 cm3: consumo 32 g/km de combustible, 23,70 km/lt. El valor 32 g/km se toma de: 
https://www.eea.europa.eu/publications/emep-eea-guidebook-2016/part-b-sectoral-guidance-chapters/1-energy/1-a-combustion/1-a-3-b-i/view</t>
  </si>
  <si>
    <t>Modelo Cititrix, Mobility USD 3.999; https://mobility.uy/precios-y-financiacion/ ; 20/08/2020</t>
  </si>
  <si>
    <t xml:space="preserve"> AT_Mi actualizada y ponderada (tep), CEE</t>
  </si>
  <si>
    <t>Otros vehículos livianos eléctricos puros, con batería de litio o superior densidad de energía gravimétrica, de 4 y 3 ruedas de pasajeros y comerciales de recorrido urbano</t>
  </si>
  <si>
    <t>Vehículos eléctricios categorías M1, N1 y N2</t>
  </si>
  <si>
    <t>Vehículos livianos eléctricos puros categorías M1, N1 y N2 con batería de litio o superior densidad de energía gravimétrica</t>
  </si>
  <si>
    <t>Otros vehículos livianos eléctricos puros de 4 o 3 ruedas con batería de litio o superior densidad de energía gravimétrica</t>
  </si>
  <si>
    <t>6.</t>
  </si>
  <si>
    <t>M1: Vehículos automotores utilizados para el transporte de pasajeros, con no más de ocho asientos además del asiento del conductor.</t>
  </si>
  <si>
    <t xml:space="preserve">N1: Vehículos automotores utilizados para el transporte de carga con un peso máximo de 3,5 toneladas. </t>
  </si>
  <si>
    <t>N2: Vehículos automotores utilizados para el transporte de carga con un peso máximo de 3,5 toneladas que no exceda las 12 toneladas.</t>
  </si>
  <si>
    <t xml:space="preserve">Aclaración: </t>
  </si>
  <si>
    <t xml:space="preserve">Las categorías M1, N1 y N2 refieren a las definiciones establecidas en GMC Nº 60/19: </t>
  </si>
  <si>
    <t>Moto eléctrica</t>
  </si>
  <si>
    <t>Máxima autonomía</t>
  </si>
  <si>
    <t>MOTO ELÉCTRICA SUPER SOCO CU-VEEMS c/IVA-https://www.veems.com.uy/moto-electrica-super-soco-cu-scooter/;28/05/2021</t>
  </si>
  <si>
    <t>Ficha técnica modelo 1920 W 75km</t>
  </si>
  <si>
    <t>Split Panavox 12.000 BTU; https://www.carlosgutierrez.com.uy/products/6653</t>
  </si>
  <si>
    <t>James, 40 litros, TK acero, Clase A, Carlos Gutierrez, https://www.carlosgutierrez.com.uy/products/205</t>
  </si>
  <si>
    <t>veces consumo</t>
  </si>
  <si>
    <t>James 205 litros, https://articulo.mercadolibre.com.uy/MLU-464451238-refrigerador-james-rjn-20k-frio-humedo-laser-tv-_JM?matt_tool=87138326&amp;matt_word=&amp;matt_source=google&amp;matt_campaign_id=11544405263&amp;matt_ad_group_id=115484842274&amp;matt_match_type=&amp;matt_network=g&amp;matt_device=c&amp;matt_creative=477924255598&amp;matt_keyword=&amp;matt_ad_position=&amp;matt_ad_type=pla&amp;matt_merchant_id=141512102&amp;matt_product_id=MLU464451238&amp;matt_product_partition_id=1041055687809&amp;matt_target_id=pla-1041055687809&amp;gclid=CjwKCAjwlrqHBhByEiwAnLmYUGllH1fIIef1emc-griUgv5t8Nv8D9oXYmdeRjw-HtgY_IiOtBLv-RoCJ2cQAvD_BwE</t>
  </si>
  <si>
    <t>Potencia lámpara LED vs LB</t>
  </si>
  <si>
    <t>Potencia tubo LED vs LB</t>
  </si>
  <si>
    <t>Distancia promedio recorrida por vehículo por día (km/día)</t>
  </si>
  <si>
    <t>Mediana empresa</t>
  </si>
  <si>
    <t>Taxis/remises/transporte de pasajeros por aplicaciones eléctricos puros con batería de litio o superior densidad de energía gravimétrica</t>
  </si>
  <si>
    <t>BYD E5</t>
  </si>
  <si>
    <t>E5 ficha técnica variabilidad 0,2-0,26</t>
  </si>
  <si>
    <t>Cambié a todo el año</t>
  </si>
  <si>
    <t>Vehículos eléctricos (todos los tipos comprendidos en las MMEE estandarizadas):</t>
  </si>
  <si>
    <t>Autoconsumo</t>
  </si>
  <si>
    <t>1 / 0,7</t>
  </si>
  <si>
    <t>Se asume 100% autoconsumo para Residencial y 70% para los otros sectores</t>
  </si>
  <si>
    <t>Tipo de MMEE</t>
  </si>
  <si>
    <t>Estandarizada</t>
  </si>
  <si>
    <t>Otra / Sin certif.</t>
  </si>
  <si>
    <t>Nº instalación</t>
  </si>
  <si>
    <t>Nombre de instalación (fija o móvil)</t>
  </si>
  <si>
    <t>Nombre (persona física) 
/ 
Razón social (otros)</t>
  </si>
  <si>
    <t>C.I. (persona física)
/
RUT(otros)</t>
  </si>
  <si>
    <t>Nº 
MMEE 
o 
instalación (medida distribuida)</t>
  </si>
  <si>
    <t>Acondicionadores de aire - Clase A</t>
  </si>
  <si>
    <t>Termotanques eléctricos - Clase A</t>
  </si>
  <si>
    <t>Refrigeradores - Clase A</t>
  </si>
  <si>
    <t xml:space="preserve">Motcicleta eléctrica pura con batería de litio o superior densidad de energía gravimétrica, empadronadas </t>
  </si>
  <si>
    <t>Paneles fotovoltaicos para autoconsumo</t>
  </si>
  <si>
    <t>Taxis, remises o transporte de pasajeros por aplicaciones eléctricos puros con batería de litio o superior densidad de energía gravimétrica</t>
  </si>
  <si>
    <t>¿Es una medida distribuida?</t>
  </si>
  <si>
    <t>Es una medida distribuida?</t>
  </si>
  <si>
    <t>Importante: Recuerde que para poder postularse a la convocatoria 2021 de los CEE, la fecha de inicio de operación (es decir, de la factura) debe estar comprendida entre el 01/07/2019 y el 30/06/2020.</t>
  </si>
  <si>
    <r>
      <t>- La</t>
    </r>
    <r>
      <rPr>
        <b/>
        <sz val="12"/>
        <rFont val="Calibri"/>
        <family val="2"/>
        <scheme val="minor"/>
      </rPr>
      <t xml:space="preserve"> "Distancia promedio recorrida por día (km/día)" en la columna "I" </t>
    </r>
    <r>
      <rPr>
        <sz val="12"/>
        <rFont val="Calibri"/>
        <family val="2"/>
        <scheme val="minor"/>
      </rPr>
      <t>debe calcularse como el cociente entre los kilómetros totales recorridos acorde al registro fotográfico del odómetro, y los días desde que comenzó a circular el vehículo (calculados como los días desde la fecha de la libreta de empadronamiento y la fecha de la foto del odómetro).</t>
    </r>
  </si>
  <si>
    <t>7.</t>
  </si>
  <si>
    <t>BEN 2020</t>
  </si>
  <si>
    <t>Fueloil calefacción</t>
  </si>
  <si>
    <t>Fueloil intermedio</t>
  </si>
  <si>
    <t>Fueloil pesado</t>
  </si>
  <si>
    <t>tep/m3</t>
  </si>
  <si>
    <t>Pymes (con Certificado Dinapyme)</t>
  </si>
  <si>
    <t>No, AT_Mi ≥ 500 tep</t>
  </si>
  <si>
    <t>Si, expost, AT_Mi ≥ 500 tep</t>
  </si>
  <si>
    <t>Si, exante, AT_Mi ≥ 500 tep</t>
  </si>
  <si>
    <t>No / Si, expost, AT_Mi &lt; 500 tep</t>
  </si>
  <si>
    <t>Si, exante, AT_Mi: 300 - 500 tep</t>
  </si>
  <si>
    <t>Si, exante, AT_Mi: 100 - 300 tep</t>
  </si>
  <si>
    <t>Si, exante, AT_Mi: &lt; 100 tep</t>
  </si>
  <si>
    <t xml:space="preserve">6) Cuando la organización hace llamado(s) para contratar personal ¿los textos están dirigidos tanto a hombres como a mujeres, alentando la postulación en forma independiente del cargo y/o la tarea a desarrollar? </t>
  </si>
  <si>
    <t xml:space="preserve">5) ¿La organización cuenta con mecanismos propios para el cuidado de personas dependienes (por ejemplo licencias y/o permisos especiales; sistema de apoyo económico, por ejemplo copago de guarderías, convenios con empresas especializadas, entre otros) como beneficio para sus trabajadores/as? (fuera de las exigidas por ley: maternidad y paternidad) </t>
  </si>
  <si>
    <t xml:space="preserve">Personigrama firmado por la Dirección. 
Aclaración: se consideraran cargos de decisión aquellos que esten en los primeros dos niveles. Podrán considerarse excepciones en estructuras muy específicas que tengan niveles atípicos. Ejemplo: la administración de un edificio residencial; la existencia de varias áreas en una empresa grande pero que aún el nivel 4 implique un cargo de gerencia y toma de decisión. </t>
  </si>
  <si>
    <t>Protocolo aprobado y en funcionamiento. 
Aclaración: El protocolo tiene que estar aprobado y explícitamente en vigencia, evidenciarse que pertenece a la empresa. Debe contener un procedimiento explícito de atención a los casos.</t>
  </si>
  <si>
    <t xml:space="preserve">Ley: https://www.mtss.gub.uy/web/mtss/acoso-sexual;
Decreto: https://www.impo.com.uy/bases/decretos/256-2017 </t>
  </si>
  <si>
    <t xml:space="preserve">Convocatoria, listado de asistencia de empleados/as a la instancia más reciente, detalle del contenido del taller, cantidad de horas (mínimo 4), fecha/s de la/s instancia/s. </t>
  </si>
  <si>
    <t xml:space="preserve">Documento de adhesión a la herramienta (MCEG o WEPs) y, si corresponde, comprobante certificación del MCEG. 
Aclaración: deben tener al menos la carta de compromiso firmada por la directiva de la empresa. </t>
  </si>
  <si>
    <t xml:space="preserve">Adjuntar reglamentación interna aprobada.
Aclaración: el beneficio debe ser otorgado por la empresa y no por el sindicato, gremio u organización de trabajadores.  El documento que avale la existencia del beneficio debe estar vigente y evidenciarse que está relacionado con la empresa. La medida debe ser de promoción de la corresponsabilidad de género (hombres y mujeres). Las medidas tendrán que impactar directamente en la carga global de trabajo sea a través de tercerizar el cuidado o licencias, permisos, etc.  </t>
  </si>
  <si>
    <t>- Ley sector privado: SUBSIDIO POR MATERNIDAD Y FIJACION DE SUBSIDIO POR PATERNIDAD Y SUBSIDIO PARA CUIDADO DEL RECIEN NACIDO: https://www.impo.com.uy/bases/leyes/19161-2013;
- Ley Sector Públic: Regulación del estatuto del funcionario público de la administración central: https://www.impo.com.uy/bases/leyes/19121-2013/102; 
- Sistema Nacional de Cuidados (SNC): http://www.sistemadecuidados.gub.uy/61058/licencias-por-maternidad-paternidad-adopcion-y-cuidados-en-la-actividad-publica-y-privada</t>
  </si>
  <si>
    <t>- Ley Nº 18.104 - Declaración de interés general. Igualdad de derechos entre hombres y mujeres: https://www.impo.com.uy/bases/leyes/18104-2007
- Ley Nº 16.045 - Prohíbase toda discriminación que viole el principio de igualdad de trato y oportunidades para ambos sexos en cualquier sector: https://legislativo.parlamento.gub.uy/temporales/leytemp1273521.htm
- Ley 19.846 Aprobación de las obligaciones emergentes del Derecho Internacional de los Derechos Humanos, en relación a la igualdad y no discriminación entre mujeres y varones, comprendiendo la igualdad formal, sustantiva y de reconocimiento; https://www.impo.com.uy/bases/leyes/19846-2019</t>
  </si>
  <si>
    <r>
      <rPr>
        <b/>
        <i/>
        <sz val="14"/>
        <color theme="0"/>
        <rFont val="Calibri"/>
        <family val="2"/>
      </rPr>
      <t xml:space="preserve">Aclaración: </t>
    </r>
    <r>
      <rPr>
        <b/>
        <sz val="14"/>
        <color theme="0"/>
        <rFont val="Calibri"/>
        <family val="2"/>
      </rPr>
      <t>Debe completar esta hoja sólo si es empresa/institución desea aplicar a este ponderador, en cumplimineto de los requisitos establecidos.</t>
    </r>
  </si>
  <si>
    <t>Consumo de energía en el año 2018</t>
  </si>
  <si>
    <t>NUEVO</t>
  </si>
  <si>
    <t>NUEVO (auxiliar oculta)</t>
  </si>
  <si>
    <t>Calidad de la postulación</t>
  </si>
  <si>
    <t>P_in_nominal</t>
  </si>
  <si>
    <t>Preste atención a las instrucciones de la hoja "Instrucciones para hoja MMEE" para completar correctamente todos los datos requeridos esta hoja.</t>
  </si>
  <si>
    <t>¿La MMEE fue beneficiaria de COMAP o del Fondo Industrial 0 Ambos?</t>
  </si>
  <si>
    <t>¿La MMEE se presentó a COMAP o el Fondo Industrial o a ambos?</t>
  </si>
  <si>
    <t>COMAP</t>
  </si>
  <si>
    <t>FONDO INDUSTRIAL</t>
  </si>
  <si>
    <t>AMBOS</t>
  </si>
  <si>
    <t>Ahorro energético anual (tep/año)</t>
  </si>
  <si>
    <t>Uso Principal</t>
  </si>
  <si>
    <t>Equipo o tecnología (principal) de la medida</t>
  </si>
  <si>
    <t>Uso principal</t>
  </si>
  <si>
    <t xml:space="preserve">Calentamiento de Agua </t>
  </si>
  <si>
    <t>Conservación de alimentos</t>
  </si>
  <si>
    <t>Generación de electricidad</t>
  </si>
  <si>
    <t>Iluminación</t>
  </si>
  <si>
    <t>Motocicleta eléctrica</t>
  </si>
  <si>
    <t>Paneles solares fotovoltaicos</t>
  </si>
  <si>
    <t>Refrigeradores tipo residencial - Clase A</t>
  </si>
  <si>
    <t>Taxis, remises o transporte de pasajeros eléctricos</t>
  </si>
  <si>
    <t>Vehículos livianos eléctricos</t>
  </si>
  <si>
    <t xml:space="preserve">¿Es una medida operativa? </t>
  </si>
  <si>
    <r>
      <t>Reducciones de emisiones de CO</t>
    </r>
    <r>
      <rPr>
        <b/>
        <vertAlign val="subscript"/>
        <sz val="11"/>
        <color theme="0" tint="-0.499984740745262"/>
        <rFont val="Calibri"/>
        <family val="2"/>
        <scheme val="minor"/>
      </rPr>
      <t>2</t>
    </r>
    <r>
      <rPr>
        <b/>
        <sz val="11"/>
        <color theme="0" tint="-0.499984740745262"/>
        <rFont val="Calibri"/>
        <family val="2"/>
        <scheme val="minor"/>
      </rPr>
      <t xml:space="preserve"> (tCO</t>
    </r>
    <r>
      <rPr>
        <b/>
        <vertAlign val="subscript"/>
        <sz val="11"/>
        <color theme="0" tint="-0.499984740745262"/>
        <rFont val="Calibri"/>
        <family val="2"/>
        <scheme val="minor"/>
      </rPr>
      <t>2</t>
    </r>
    <r>
      <rPr>
        <b/>
        <sz val="11"/>
        <color theme="0" tint="-0.499984740745262"/>
        <rFont val="Calibri"/>
        <family val="2"/>
        <scheme val="minor"/>
      </rPr>
      <t>/año)</t>
    </r>
  </si>
  <si>
    <t>Mipyme 
(con Certificado de Dinapyme al día)</t>
  </si>
  <si>
    <t>Premio Nacional de Eficiencia Energética 2018, 2019, 2020</t>
  </si>
  <si>
    <t>CEE - Beneficiario convocatoria 2018 y/o 2019 y/o 2020</t>
  </si>
  <si>
    <t>AA_Mi,j * P_in_nominal
(tep/año)</t>
  </si>
  <si>
    <t>AT_Mi (tep)
PONDERADA  NOMINAL</t>
  </si>
  <si>
    <t>CEE (UYU)
SIN TOPES NOMINAL</t>
  </si>
  <si>
    <t>CEE (UYU)
TOPE 1 NOMINAL</t>
  </si>
  <si>
    <t>CEE (UYU)
TOPE 1</t>
  </si>
  <si>
    <t>CEE (UYU)
TOPE 2 NOMINAL</t>
  </si>
  <si>
    <t>CEE (UYU)
TOPE 2</t>
  </si>
  <si>
    <r>
      <rPr>
        <b/>
        <sz val="12"/>
        <color theme="1"/>
        <rFont val="Calibri"/>
        <family val="2"/>
        <scheme val="minor"/>
      </rPr>
      <t xml:space="preserve">Para todas las medidas </t>
    </r>
    <r>
      <rPr>
        <u/>
        <sz val="12"/>
        <color theme="1"/>
        <rFont val="Calibri"/>
        <family val="2"/>
        <scheme val="minor"/>
      </rPr>
      <t>(excepto vehículos eléctricos. Ver punto 7)</t>
    </r>
    <r>
      <rPr>
        <b/>
        <sz val="12"/>
        <color theme="1"/>
        <rFont val="Calibri"/>
        <family val="2"/>
        <scheme val="minor"/>
      </rPr>
      <t xml:space="preserve">: </t>
    </r>
    <r>
      <rPr>
        <sz val="12"/>
        <color theme="1"/>
        <rFont val="Calibri"/>
        <family val="2"/>
        <scheme val="minor"/>
      </rPr>
      <t>Si implementó más de una MMEE de un mismo tipo en una misma instalación pero con diferentes características, debe separar la medida en diferentes filas. Cada fila debe corresponder al grupo de equipos con las mismas características. Por ejemplo: si instaló 10 lámparas LED de 9 watts y 8 tubos LED de 18 watts, debe separar la medida en 2 filas diferentes, indicando las cantidad y potencias de cada grupo en la fila correspondiente.</t>
    </r>
  </si>
  <si>
    <t>Residencial o 
Mipyme (con Certificado Dinapyme vigente)</t>
  </si>
  <si>
    <r>
      <t xml:space="preserve">- El </t>
    </r>
    <r>
      <rPr>
        <b/>
        <sz val="12"/>
        <color theme="1"/>
        <rFont val="Calibri"/>
        <family val="2"/>
      </rPr>
      <t>nombre (si es persona física) o la razón social (otros)</t>
    </r>
    <r>
      <rPr>
        <sz val="12"/>
        <color theme="1"/>
        <rFont val="Calibri"/>
        <family val="2"/>
      </rPr>
      <t xml:space="preserve"> debe coincidir (incluyendo mayúsculas y minúsculas) con el ingresado en Trámites en línea</t>
    </r>
  </si>
  <si>
    <t>Acondicionamiento térmico</t>
  </si>
  <si>
    <t>Luminarias LED</t>
  </si>
  <si>
    <t xml:space="preserve">Si el monto de la factura se encuentra en USD (dólares americanos) u otra moneda diferente a UYU (pesos uruguayos) utilice la tasa de cambio que aparece en la factura o en caso contrario la del Banco Central del Uruguay para el día hábil anterior (https://www.bcu.gub.uy/Estadisticas-e-Indicadores/Paginas/Cotizaciones.aspx). </t>
  </si>
  <si>
    <t>VER SIMPLIFICAR FÓRMULA</t>
  </si>
  <si>
    <r>
      <t>Emisiones CO</t>
    </r>
    <r>
      <rPr>
        <b/>
        <vertAlign val="subscript"/>
        <sz val="11"/>
        <color theme="0" tint="-0.499984740745262"/>
        <rFont val="Calibri"/>
        <family val="2"/>
        <scheme val="minor"/>
      </rPr>
      <t>2</t>
    </r>
  </si>
  <si>
    <r>
      <t>tCO</t>
    </r>
    <r>
      <rPr>
        <b/>
        <vertAlign val="subscript"/>
        <sz val="11"/>
        <color theme="0" tint="-0.499984740745262"/>
        <rFont val="Calibri"/>
        <family val="2"/>
        <scheme val="minor"/>
      </rPr>
      <t>2</t>
    </r>
    <r>
      <rPr>
        <b/>
        <sz val="11"/>
        <color theme="0" tint="-0.499984740745262"/>
        <rFont val="Calibri"/>
        <family val="2"/>
        <scheme val="minor"/>
      </rPr>
      <t>/año</t>
    </r>
  </si>
  <si>
    <t>Fuentes renovables no convencionales</t>
  </si>
  <si>
    <t>Vida útil máx MIEM</t>
  </si>
  <si>
    <t>VU máx MIEM</t>
  </si>
  <si>
    <t xml:space="preserve">VU máx MIEM </t>
  </si>
  <si>
    <t>20 mil horas (LED interiores), VU máx MIEM</t>
  </si>
  <si>
    <t>Vidas útiles</t>
  </si>
  <si>
    <t>Ver hoja calculadores</t>
  </si>
  <si>
    <t>Precio (UYU/unidad física)</t>
  </si>
  <si>
    <t>UTE EN CIFRAS 2020; 6. PRECIO MEDIO DE VENTA EN EL MERCADO INTERNO; https://portal.ute.com.uy/sites/default/files/generico/UTE_en_Cifras_2020_TRIPTICO_20210511.pdf</t>
  </si>
  <si>
    <t>Gasolina Super 95 30S; Precios máximos de venta al público (PVP) de combustibles ANCAP 2021 (Decreto 245/021, 30/07/2021)</t>
  </si>
  <si>
    <t>Electricidad de la red (VE)</t>
  </si>
  <si>
    <t>Residencial/mipymes</t>
  </si>
  <si>
    <t>CEE (UYU):</t>
  </si>
  <si>
    <t>Nombre de la MMEE</t>
  </si>
  <si>
    <r>
      <t xml:space="preserve">- En </t>
    </r>
    <r>
      <rPr>
        <b/>
        <sz val="12"/>
        <rFont val="Calibri"/>
        <family val="2"/>
      </rPr>
      <t>"Nombre de instalación (fija o móvil)"</t>
    </r>
    <r>
      <rPr>
        <sz val="12"/>
        <rFont val="Calibri"/>
        <family val="2"/>
      </rPr>
      <t xml:space="preserve"> debe indicar la/s instalacion/es (fijas y/o móviles) donde se implementaron las MMEE. En el caso de </t>
    </r>
    <r>
      <rPr>
        <b/>
        <sz val="12"/>
        <rFont val="Calibri"/>
        <family val="2"/>
      </rPr>
      <t>instalación/es móvil/es</t>
    </r>
    <r>
      <rPr>
        <sz val="12"/>
        <rFont val="Calibri"/>
        <family val="2"/>
      </rPr>
      <t xml:space="preserve"> (vehículo/s) </t>
    </r>
    <r>
      <rPr>
        <b/>
        <sz val="12"/>
        <rFont val="Calibri"/>
        <family val="2"/>
      </rPr>
      <t>el nombre de instalación debe ser: marca, modelo y nro. de matrícula de cada vehículo</t>
    </r>
    <r>
      <rPr>
        <sz val="12"/>
        <rFont val="Calibri"/>
        <family val="2"/>
      </rPr>
      <t xml:space="preserve"> que se presente.</t>
    </r>
  </si>
  <si>
    <t>N° de cuenta de UTE (principal)</t>
  </si>
  <si>
    <t>Nombre de instalación 
(fija o móvil)</t>
  </si>
  <si>
    <t xml:space="preserve">Motocicleta eléctrica pura con batería de litio o superior densidad de energía gravimétrica, empadronadas </t>
  </si>
  <si>
    <r>
      <t xml:space="preserve">La </t>
    </r>
    <r>
      <rPr>
        <b/>
        <sz val="12"/>
        <rFont val="Calibri"/>
        <family val="2"/>
        <scheme val="minor"/>
      </rPr>
      <t>"Fecha de inicio de operación (dd/mm/aaaa)"</t>
    </r>
    <r>
      <rPr>
        <sz val="12"/>
        <rFont val="Calibri"/>
        <family val="2"/>
        <scheme val="minor"/>
      </rPr>
      <t xml:space="preserve"> en la columna "N" debe ser la fecha de la factura del/los equipo/s que instaló. En el caso de </t>
    </r>
    <r>
      <rPr>
        <b/>
        <u/>
        <sz val="12"/>
        <rFont val="Calibri"/>
        <family val="2"/>
        <scheme val="minor"/>
      </rPr>
      <t>vehículos eléctrico</t>
    </r>
    <r>
      <rPr>
        <u/>
        <sz val="12"/>
        <rFont val="Calibri"/>
        <family val="2"/>
        <scheme val="minor"/>
      </rPr>
      <t>s</t>
    </r>
    <r>
      <rPr>
        <sz val="12"/>
        <rFont val="Calibri"/>
        <family val="2"/>
        <scheme val="minor"/>
      </rPr>
      <t xml:space="preserve"> es la fecha de la libreta de empadronamiento. </t>
    </r>
  </si>
  <si>
    <t>- Si postula más de un vehículo, debe presentar uno por fila, aún cuando sean varios vehículos del mismo modelo. En este último caso la MMEE es considerada "MMEE distribuida" y debe seleccionar "Si" en la columna "P".</t>
  </si>
  <si>
    <r>
      <t xml:space="preserve">La pregunta </t>
    </r>
    <r>
      <rPr>
        <b/>
        <sz val="12"/>
        <rFont val="Calibri"/>
        <family val="2"/>
        <scheme val="minor"/>
      </rPr>
      <t>"¿Es una medida distribuida?"</t>
    </r>
    <r>
      <rPr>
        <sz val="12"/>
        <rFont val="Calibri"/>
        <family val="2"/>
        <scheme val="minor"/>
      </rPr>
      <t xml:space="preserve"> en la columna "P" debe responder "Si" en los casos que se presente una misma medida (misma tecnología) implementada en diferentes instalaciones. Por ejemplo: instalación de paneles solares térmicos en diversas casas de una cooperativa de viviendas, diversos vehículos adquiridos por el postulante de manera conjunta, etc. </t>
    </r>
  </si>
  <si>
    <r>
      <t xml:space="preserve">La </t>
    </r>
    <r>
      <rPr>
        <b/>
        <sz val="12"/>
        <rFont val="Calibri"/>
        <family val="2"/>
        <scheme val="minor"/>
      </rPr>
      <t>"Cantidad de unidades"</t>
    </r>
    <r>
      <rPr>
        <sz val="12"/>
        <rFont val="Calibri"/>
        <family val="2"/>
        <scheme val="minor"/>
      </rPr>
      <t xml:space="preserve"> de la columna "K" refiere a un mismo tipo de MMEE. Por ejemplo: 10 lámparas de 9 watts. En el caso de paneles solares térmicos, se considera como 1 unidad, 1 panel solar de 2 m2.</t>
    </r>
  </si>
  <si>
    <r>
      <t xml:space="preserve">La </t>
    </r>
    <r>
      <rPr>
        <b/>
        <sz val="12"/>
        <rFont val="Calibri"/>
        <family val="2"/>
        <scheme val="minor"/>
      </rPr>
      <t>"Inversión total (UYU)"</t>
    </r>
    <r>
      <rPr>
        <sz val="12"/>
        <rFont val="Calibri"/>
        <family val="2"/>
        <scheme val="minor"/>
      </rPr>
      <t xml:space="preserve"> en la columna "T" debe corresponder al monto de la/s factura/s de compra del/los equipos y factura/s de instalación del/los equipos (si aplica).</t>
    </r>
  </si>
  <si>
    <r>
      <t>- En el caso de i</t>
    </r>
    <r>
      <rPr>
        <b/>
        <sz val="12"/>
        <rFont val="Calibri"/>
        <family val="2"/>
      </rPr>
      <t>nstalaciones móviles (vehículos)</t>
    </r>
    <r>
      <rPr>
        <sz val="12"/>
        <rFont val="Calibri"/>
        <family val="2"/>
      </rPr>
      <t xml:space="preserve">, en </t>
    </r>
    <r>
      <rPr>
        <b/>
        <sz val="12"/>
        <rFont val="Calibri"/>
        <family val="2"/>
      </rPr>
      <t>"Departamento"</t>
    </r>
    <r>
      <rPr>
        <sz val="12"/>
        <rFont val="Calibri"/>
        <family val="2"/>
      </rPr>
      <t xml:space="preserve">, debe seleccionar el correspondiente a la libreta de empadronamiento del vehículo.
- En </t>
    </r>
    <r>
      <rPr>
        <b/>
        <sz val="12"/>
        <rFont val="Calibri"/>
        <family val="2"/>
      </rPr>
      <t>"N° de cuenta de UTE (principal)"</t>
    </r>
    <r>
      <rPr>
        <sz val="12"/>
        <rFont val="Calibri"/>
        <family val="2"/>
      </rPr>
      <t xml:space="preserve"> debe indicar la cuenta principal de la instalación correspondiente. En el caso de vehículos eléctricos, debe ser la cuenta del punto de carga. Si utiliza la red de cargadores públicos, deje este campo vacío.
- Si es </t>
    </r>
    <r>
      <rPr>
        <b/>
        <sz val="12"/>
        <rFont val="Calibri"/>
        <family val="2"/>
      </rPr>
      <t>Residencial o Mipymes (con Certificado Dinapyme vigente):</t>
    </r>
    <r>
      <rPr>
        <sz val="12"/>
        <rFont val="Calibri"/>
        <family val="2"/>
      </rPr>
      <t xml:space="preserve"> deben seleccionar la identificación correspondiente en la </t>
    </r>
    <r>
      <rPr>
        <b/>
        <sz val="12"/>
        <rFont val="Calibri"/>
        <family val="2"/>
      </rPr>
      <t>celda D12</t>
    </r>
    <r>
      <rPr>
        <sz val="12"/>
        <rFont val="Calibri"/>
        <family val="2"/>
      </rPr>
      <t>.</t>
    </r>
  </si>
  <si>
    <t>Información a indicar en la columna "J" según tipo de MMEE</t>
  </si>
  <si>
    <t>Valor del parámetro solicitado en la columna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</si>
</sst>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00_);_(* \(#,##0.00\);_(* &quot;-&quot;??_);_(@_)"/>
    <numFmt numFmtId="165" formatCode="_-* #,##0.00\ _€_-;\-* #,##0.00\ _€_-;_-* &quot;-&quot;??\ _€_-;_-@_-"/>
    <numFmt numFmtId="166" formatCode="General_)"/>
    <numFmt numFmtId="167" formatCode="0.0_)"/>
    <numFmt numFmtId="168" formatCode="_ * #,##0.00_ ;_ * \-#,##0.00_ ;_ * &quot;-&quot;??_ ;_ @_ "/>
    <numFmt numFmtId="169" formatCode="\$#,##0\ ;\(\$#,##0\)"/>
    <numFmt numFmtId="170" formatCode="_ [$€]\ * #,##0.00_ ;_ [$€]\ * \-#,##0.00_ ;_ [$€]\ * &quot;-&quot;??_ ;_ @_ "/>
    <numFmt numFmtId="171" formatCode="0.0"/>
    <numFmt numFmtId="172" formatCode="0.000"/>
    <numFmt numFmtId="173" formatCode="_(* #,##0_);_(* \(#,##0\);_(* &quot;-&quot;??_);_(@_)"/>
    <numFmt numFmtId="174" formatCode="_(* #,##0.0000_);_(* \(#,##0.0000\);_(* &quot;-&quot;??_);_(@_)"/>
    <numFmt numFmtId="175" formatCode="0.0000"/>
    <numFmt numFmtId="176" formatCode="_(* #,##0.0_);_(* \(#,##0.0\);_(* &quot;-&quot;??_);_(@_)"/>
    <numFmt numFmtId="177" formatCode="0.0%"/>
    <numFmt numFmtId="178" formatCode="_(* #,##0.000_);_(* \(#,##0.000\);_(* &quot;-&quot;??_);_(@_)"/>
    <numFmt numFmtId="179" formatCode="0.00_)"/>
  </numFmts>
  <fonts count="134" x14ac:knownFonts="1">
    <font>
      <sz val="11"/>
      <color theme="1"/>
      <name val="Calibri"/>
      <family val="2"/>
      <scheme val="minor"/>
    </font>
    <font>
      <sz val="11"/>
      <color rgb="FFFF0000"/>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2"/>
      <name val="Courier"/>
      <family val="3"/>
    </font>
    <font>
      <sz val="8"/>
      <color theme="1"/>
      <name val="Calibri"/>
      <family val="2"/>
      <scheme val="minor"/>
    </font>
    <font>
      <b/>
      <sz val="8"/>
      <color theme="1"/>
      <name val="Calibri"/>
      <family val="2"/>
      <scheme val="minor"/>
    </font>
    <font>
      <sz val="10"/>
      <name val="Arial"/>
      <family val="2"/>
    </font>
    <font>
      <b/>
      <sz val="18"/>
      <name val="Arial"/>
      <family val="2"/>
    </font>
    <font>
      <b/>
      <sz val="12"/>
      <name val="Arial"/>
      <family val="2"/>
    </font>
    <font>
      <sz val="11"/>
      <color theme="1"/>
      <name val="Calibri"/>
      <family val="2"/>
    </font>
    <font>
      <sz val="10"/>
      <color theme="1"/>
      <name val="Calibri"/>
      <family val="2"/>
      <scheme val="minor"/>
    </font>
    <font>
      <b/>
      <sz val="12"/>
      <color theme="0"/>
      <name val="Calibri"/>
      <family val="2"/>
      <scheme val="minor"/>
    </font>
    <font>
      <b/>
      <sz val="10"/>
      <color theme="1"/>
      <name val="Calibri"/>
      <family val="2"/>
      <scheme val="minor"/>
    </font>
    <font>
      <b/>
      <sz val="12"/>
      <name val="Calibri"/>
      <family val="2"/>
      <scheme val="minor"/>
    </font>
    <font>
      <sz val="11"/>
      <name val="Calibri"/>
      <family val="2"/>
      <scheme val="minor"/>
    </font>
    <font>
      <sz val="12"/>
      <color rgb="FFFF0000"/>
      <name val="Calibri"/>
      <family val="2"/>
      <scheme val="minor"/>
    </font>
    <font>
      <b/>
      <sz val="11"/>
      <color rgb="FFFF0000"/>
      <name val="Calibri"/>
      <family val="2"/>
      <scheme val="minor"/>
    </font>
    <font>
      <sz val="8"/>
      <name val="Calibri"/>
      <family val="2"/>
      <scheme val="minor"/>
    </font>
    <font>
      <b/>
      <sz val="16"/>
      <color theme="0"/>
      <name val="Calibri"/>
      <family val="2"/>
      <scheme val="minor"/>
    </font>
    <font>
      <b/>
      <sz val="12"/>
      <color theme="1"/>
      <name val="Calibri"/>
      <family val="2"/>
      <scheme val="minor"/>
    </font>
    <font>
      <sz val="16"/>
      <color theme="0"/>
      <name val="Calibri"/>
      <family val="2"/>
      <scheme val="minor"/>
    </font>
    <font>
      <sz val="14"/>
      <color theme="1"/>
      <name val="Calibri"/>
      <family val="2"/>
      <scheme val="minor"/>
    </font>
    <font>
      <b/>
      <i/>
      <sz val="14"/>
      <color rgb="FFFF0000"/>
      <name val="Calibri"/>
      <family val="2"/>
      <scheme val="minor"/>
    </font>
    <font>
      <sz val="14"/>
      <color rgb="FFFF0000"/>
      <name val="Calibri"/>
      <family val="2"/>
      <scheme val="minor"/>
    </font>
    <font>
      <sz val="12"/>
      <name val="Calibri"/>
      <family val="2"/>
      <scheme val="minor"/>
    </font>
    <font>
      <b/>
      <sz val="12"/>
      <color rgb="FFFF0000"/>
      <name val="Calibri"/>
      <family val="2"/>
      <scheme val="minor"/>
    </font>
    <font>
      <sz val="10"/>
      <color rgb="FFFF0000"/>
      <name val="Calibri"/>
      <family val="2"/>
      <scheme val="minor"/>
    </font>
    <font>
      <sz val="10"/>
      <name val="Calibri"/>
      <family val="2"/>
      <scheme val="minor"/>
    </font>
    <font>
      <b/>
      <sz val="10"/>
      <name val="Calibri"/>
      <family val="2"/>
      <scheme val="minor"/>
    </font>
    <font>
      <b/>
      <i/>
      <sz val="11"/>
      <color rgb="FF00B050"/>
      <name val="Calibri"/>
      <family val="2"/>
      <scheme val="minor"/>
    </font>
    <font>
      <sz val="11"/>
      <color rgb="FF00B050"/>
      <name val="Calibri"/>
      <family val="2"/>
      <scheme val="minor"/>
    </font>
    <font>
      <sz val="16"/>
      <name val="Calibri"/>
      <family val="2"/>
      <scheme val="minor"/>
    </font>
    <font>
      <sz val="16"/>
      <color rgb="FFFF0000"/>
      <name val="Calibri"/>
      <family val="2"/>
      <scheme val="minor"/>
    </font>
    <font>
      <b/>
      <sz val="8"/>
      <color rgb="FFFF0000"/>
      <name val="Calibri"/>
      <family val="2"/>
      <scheme val="minor"/>
    </font>
    <font>
      <sz val="8"/>
      <name val="Calibri"/>
      <family val="2"/>
    </font>
    <font>
      <sz val="8"/>
      <color rgb="FFFF0000"/>
      <name val="Calibri"/>
      <family val="2"/>
      <scheme val="minor"/>
    </font>
    <font>
      <b/>
      <sz val="14"/>
      <color rgb="FF00B050"/>
      <name val="Calibri"/>
      <family val="2"/>
      <scheme val="minor"/>
    </font>
    <font>
      <b/>
      <sz val="12"/>
      <name val="Verdana"/>
      <family val="2"/>
    </font>
    <font>
      <sz val="15"/>
      <color theme="1"/>
      <name val="Calibri"/>
      <family val="2"/>
      <scheme val="minor"/>
    </font>
    <font>
      <b/>
      <i/>
      <sz val="15"/>
      <color rgb="FFFF0000"/>
      <name val="Calibri"/>
      <family val="2"/>
      <scheme val="minor"/>
    </font>
    <font>
      <sz val="15"/>
      <name val="Calibri"/>
      <family val="2"/>
      <scheme val="minor"/>
    </font>
    <font>
      <sz val="15"/>
      <color rgb="FFFF0000"/>
      <name val="Calibri"/>
      <family val="2"/>
      <scheme val="minor"/>
    </font>
    <font>
      <b/>
      <sz val="13"/>
      <color theme="1"/>
      <name val="Calibri"/>
      <family val="2"/>
      <scheme val="minor"/>
    </font>
    <font>
      <b/>
      <sz val="13"/>
      <name val="Calibri"/>
      <family val="2"/>
      <scheme val="minor"/>
    </font>
    <font>
      <sz val="13"/>
      <color theme="1"/>
      <name val="Calibri"/>
      <family val="2"/>
      <scheme val="minor"/>
    </font>
    <font>
      <sz val="13"/>
      <name val="Calibri"/>
      <family val="2"/>
      <scheme val="minor"/>
    </font>
    <font>
      <sz val="13"/>
      <color rgb="FFFF0000"/>
      <name val="Calibri"/>
      <family val="2"/>
      <scheme val="minor"/>
    </font>
    <font>
      <b/>
      <sz val="16"/>
      <color rgb="FFFF0000"/>
      <name val="Calibri"/>
      <family val="2"/>
      <scheme val="minor"/>
    </font>
    <font>
      <b/>
      <sz val="10"/>
      <color rgb="FFFF0000"/>
      <name val="Calibri"/>
      <family val="2"/>
      <scheme val="minor"/>
    </font>
    <font>
      <sz val="11"/>
      <color theme="1"/>
      <name val="Arial"/>
      <family val="2"/>
    </font>
    <font>
      <sz val="12"/>
      <color theme="1"/>
      <name val="Calibri"/>
      <family val="2"/>
    </font>
    <font>
      <b/>
      <sz val="16"/>
      <color theme="0"/>
      <name val="Calibri"/>
      <family val="2"/>
    </font>
    <font>
      <b/>
      <sz val="11"/>
      <color theme="1"/>
      <name val="Calibri"/>
      <family val="2"/>
    </font>
    <font>
      <sz val="11"/>
      <name val="Calibri"/>
      <family val="2"/>
    </font>
    <font>
      <sz val="11"/>
      <name val="Arial"/>
      <family val="2"/>
    </font>
    <font>
      <sz val="11"/>
      <color rgb="FFFF0000"/>
      <name val="Calibri"/>
      <family val="2"/>
    </font>
    <font>
      <sz val="8"/>
      <color theme="1"/>
      <name val="Calibri"/>
      <family val="2"/>
    </font>
    <font>
      <sz val="11"/>
      <color rgb="FF00B050"/>
      <name val="Calibri"/>
      <family val="2"/>
    </font>
    <font>
      <b/>
      <i/>
      <sz val="11"/>
      <color rgb="FF00B050"/>
      <name val="Calibri"/>
      <family val="2"/>
    </font>
    <font>
      <sz val="9"/>
      <color theme="1"/>
      <name val="Calibri"/>
      <family val="2"/>
    </font>
    <font>
      <i/>
      <sz val="10"/>
      <color theme="1"/>
      <name val="Calibri"/>
      <family val="2"/>
      <scheme val="minor"/>
    </font>
    <font>
      <sz val="16"/>
      <color theme="0"/>
      <name val="Calibri"/>
      <family val="2"/>
    </font>
    <font>
      <b/>
      <sz val="12"/>
      <color theme="0"/>
      <name val="Calibri"/>
      <family val="2"/>
    </font>
    <font>
      <sz val="14"/>
      <color theme="1"/>
      <name val="Calibri"/>
      <family val="2"/>
    </font>
    <font>
      <b/>
      <i/>
      <sz val="14"/>
      <color rgb="FFFF0000"/>
      <name val="Calibri"/>
      <family val="2"/>
    </font>
    <font>
      <b/>
      <sz val="12"/>
      <name val="Calibri"/>
      <family val="2"/>
    </font>
    <font>
      <sz val="12"/>
      <name val="Calibri"/>
      <family val="2"/>
    </font>
    <font>
      <b/>
      <sz val="12"/>
      <color theme="1"/>
      <name val="Calibri"/>
      <family val="2"/>
    </font>
    <font>
      <b/>
      <sz val="13"/>
      <name val="Calibri"/>
      <family val="2"/>
    </font>
    <font>
      <b/>
      <sz val="13"/>
      <color theme="1"/>
      <name val="Calibri"/>
      <family val="2"/>
    </font>
    <font>
      <sz val="10"/>
      <color theme="1"/>
      <name val="Calibri"/>
      <family val="2"/>
    </font>
    <font>
      <b/>
      <sz val="10"/>
      <color theme="1"/>
      <name val="Calibri"/>
      <family val="2"/>
    </font>
    <font>
      <i/>
      <sz val="10"/>
      <color theme="1"/>
      <name val="Calibri"/>
      <family val="2"/>
    </font>
    <font>
      <i/>
      <sz val="8"/>
      <color theme="1"/>
      <name val="Calibri"/>
      <family val="2"/>
    </font>
    <font>
      <sz val="10"/>
      <name val="Calibri"/>
      <family val="2"/>
    </font>
    <font>
      <sz val="10"/>
      <color rgb="FFFF0000"/>
      <name val="Calibri"/>
      <family val="2"/>
    </font>
    <font>
      <u/>
      <sz val="11"/>
      <color theme="10"/>
      <name val="Arial"/>
      <family val="2"/>
    </font>
    <font>
      <sz val="11"/>
      <color rgb="FF000000"/>
      <name val="Calibri"/>
      <family val="2"/>
      <scheme val="minor"/>
    </font>
    <font>
      <b/>
      <sz val="16"/>
      <name val="Calibri"/>
      <family val="2"/>
      <scheme val="minor"/>
    </font>
    <font>
      <b/>
      <sz val="15"/>
      <color theme="1"/>
      <name val="Calibri"/>
      <family val="2"/>
      <scheme val="minor"/>
    </font>
    <font>
      <b/>
      <sz val="11"/>
      <color rgb="FF00B050"/>
      <name val="Calibri"/>
      <family val="2"/>
      <scheme val="minor"/>
    </font>
    <font>
      <b/>
      <sz val="15"/>
      <color rgb="FFFF0000"/>
      <name val="Calibri"/>
      <family val="2"/>
      <scheme val="minor"/>
    </font>
    <font>
      <b/>
      <sz val="13"/>
      <color rgb="FFFF0000"/>
      <name val="Calibri"/>
      <family val="2"/>
      <scheme val="minor"/>
    </font>
    <font>
      <i/>
      <sz val="10"/>
      <name val="Calibri"/>
      <family val="2"/>
      <scheme val="minor"/>
    </font>
    <font>
      <u/>
      <sz val="12"/>
      <name val="Calibri"/>
      <family val="2"/>
      <scheme val="minor"/>
    </font>
    <font>
      <b/>
      <u/>
      <sz val="12"/>
      <name val="Calibri"/>
      <family val="2"/>
      <scheme val="minor"/>
    </font>
    <font>
      <b/>
      <sz val="11"/>
      <name val="Calibri"/>
      <family val="2"/>
    </font>
    <font>
      <sz val="11"/>
      <color theme="4" tint="-0.249977111117893"/>
      <name val="Calibri"/>
      <family val="2"/>
    </font>
    <font>
      <b/>
      <sz val="8"/>
      <name val="Calibri"/>
      <family val="2"/>
    </font>
    <font>
      <b/>
      <i/>
      <sz val="12"/>
      <color rgb="FF000000"/>
      <name val="Calibri"/>
      <family val="2"/>
      <scheme val="minor"/>
    </font>
    <font>
      <sz val="12"/>
      <color rgb="FF000000"/>
      <name val="Calibri"/>
      <family val="2"/>
      <scheme val="minor"/>
    </font>
    <font>
      <sz val="12"/>
      <color rgb="FF00B050"/>
      <name val="Calibri"/>
      <family val="2"/>
      <scheme val="minor"/>
    </font>
    <font>
      <b/>
      <sz val="11"/>
      <name val="Arial"/>
      <family val="2"/>
    </font>
    <font>
      <b/>
      <sz val="8"/>
      <color theme="1"/>
      <name val="Calibri"/>
      <family val="2"/>
    </font>
    <font>
      <b/>
      <sz val="14"/>
      <color theme="0"/>
      <name val="Calibri"/>
      <family val="2"/>
    </font>
    <font>
      <b/>
      <i/>
      <sz val="14"/>
      <color theme="0"/>
      <name val="Calibri"/>
      <family val="2"/>
    </font>
    <font>
      <b/>
      <sz val="14"/>
      <color theme="8" tint="-0.249977111117893"/>
      <name val="Calibri"/>
      <family val="2"/>
    </font>
    <font>
      <b/>
      <sz val="11"/>
      <color theme="0" tint="-0.499984740745262"/>
      <name val="Calibri"/>
      <family val="2"/>
    </font>
    <font>
      <sz val="11"/>
      <color theme="0" tint="-0.499984740745262"/>
      <name val="Calibri"/>
      <family val="2"/>
    </font>
    <font>
      <b/>
      <sz val="11"/>
      <color theme="0" tint="-0.499984740745262"/>
      <name val="Calibri"/>
      <family val="2"/>
      <scheme val="minor"/>
    </font>
    <font>
      <sz val="12"/>
      <color theme="0" tint="-0.499984740745262"/>
      <name val="Calibri"/>
      <family val="2"/>
      <scheme val="minor"/>
    </font>
    <font>
      <b/>
      <sz val="16"/>
      <color theme="0" tint="-0.499984740745262"/>
      <name val="Calibri"/>
      <family val="2"/>
      <scheme val="minor"/>
    </font>
    <font>
      <b/>
      <i/>
      <sz val="15"/>
      <color theme="0" tint="-0.499984740745262"/>
      <name val="Calibri"/>
      <family val="2"/>
      <scheme val="minor"/>
    </font>
    <font>
      <sz val="13"/>
      <color theme="0" tint="-0.499984740745262"/>
      <name val="Calibri"/>
      <family val="2"/>
      <scheme val="minor"/>
    </font>
    <font>
      <sz val="11"/>
      <color theme="0" tint="-0.499984740745262"/>
      <name val="Calibri"/>
      <family val="2"/>
      <scheme val="minor"/>
    </font>
    <font>
      <b/>
      <sz val="8"/>
      <color theme="0" tint="-0.499984740745262"/>
      <name val="Calibri"/>
      <family val="2"/>
      <scheme val="minor"/>
    </font>
    <font>
      <sz val="8"/>
      <color theme="0" tint="-0.499984740745262"/>
      <name val="Calibri"/>
      <family val="2"/>
      <scheme val="minor"/>
    </font>
    <font>
      <sz val="10"/>
      <color theme="0" tint="-0.499984740745262"/>
      <name val="Calibri"/>
      <family val="2"/>
      <scheme val="minor"/>
    </font>
    <font>
      <i/>
      <sz val="9"/>
      <color theme="1"/>
      <name val="Calibri"/>
      <family val="2"/>
    </font>
    <font>
      <sz val="9"/>
      <name val="Calibri"/>
      <family val="2"/>
    </font>
    <font>
      <sz val="12"/>
      <color theme="0" tint="-0.499984740745262"/>
      <name val="Calibri"/>
      <family val="2"/>
    </font>
    <font>
      <b/>
      <sz val="12"/>
      <color rgb="FFFF0000"/>
      <name val="Calibri"/>
      <family val="2"/>
    </font>
    <font>
      <b/>
      <vertAlign val="subscript"/>
      <sz val="11"/>
      <color theme="0" tint="-0.499984740745262"/>
      <name val="Calibri"/>
      <family val="2"/>
      <scheme val="minor"/>
    </font>
    <font>
      <sz val="16"/>
      <color theme="0" tint="-0.499984740745262"/>
      <name val="Calibri"/>
      <family val="2"/>
      <scheme val="minor"/>
    </font>
    <font>
      <sz val="15"/>
      <color theme="0" tint="-0.499984740745262"/>
      <name val="Calibri"/>
      <family val="2"/>
      <scheme val="minor"/>
    </font>
    <font>
      <i/>
      <sz val="8"/>
      <color theme="0" tint="-0.499984740745262"/>
      <name val="Calibri"/>
      <family val="2"/>
      <scheme val="minor"/>
    </font>
    <font>
      <sz val="16"/>
      <color theme="0" tint="-0.499984740745262"/>
      <name val="Calibri"/>
      <family val="2"/>
    </font>
    <font>
      <b/>
      <sz val="14"/>
      <color theme="0" tint="-0.499984740745262"/>
      <name val="Calibri"/>
      <family val="2"/>
    </font>
    <font>
      <sz val="10"/>
      <color theme="0" tint="-0.499984740745262"/>
      <name val="Calibri"/>
      <family val="2"/>
    </font>
    <font>
      <sz val="8"/>
      <color theme="0" tint="-0.499984740745262"/>
      <name val="Calibri"/>
      <family val="2"/>
    </font>
    <font>
      <b/>
      <sz val="10"/>
      <color theme="0" tint="-0.499984740745262"/>
      <name val="Calibri"/>
      <family val="2"/>
    </font>
    <font>
      <u/>
      <sz val="12"/>
      <color theme="1"/>
      <name val="Calibri"/>
      <family val="2"/>
      <scheme val="minor"/>
    </font>
    <font>
      <b/>
      <sz val="10"/>
      <color theme="0" tint="-0.499984740745262"/>
      <name val="Calibri"/>
      <family val="2"/>
      <scheme val="minor"/>
    </font>
    <font>
      <sz val="9"/>
      <color theme="0" tint="-0.499984740745262"/>
      <name val="Calibri"/>
      <family val="2"/>
    </font>
    <font>
      <sz val="9"/>
      <color indexed="81"/>
      <name val="Tahoma"/>
      <family val="2"/>
    </font>
    <font>
      <b/>
      <sz val="9"/>
      <color indexed="81"/>
      <name val="Tahoma"/>
      <family val="2"/>
    </font>
    <font>
      <b/>
      <sz val="12"/>
      <color theme="0" tint="-0.499984740745262"/>
      <name val="Calibri"/>
      <family val="2"/>
      <scheme val="minor"/>
    </font>
    <font>
      <b/>
      <sz val="13"/>
      <color theme="0" tint="-0.499984740745262"/>
      <name val="Calibri"/>
      <family val="2"/>
      <scheme val="minor"/>
    </font>
    <font>
      <b/>
      <sz val="11"/>
      <color theme="1" tint="0.499984740745262"/>
      <name val="Calibri"/>
      <family val="2"/>
      <scheme val="minor"/>
    </font>
    <font>
      <sz val="11"/>
      <color theme="1" tint="0.499984740745262"/>
      <name val="Calibri"/>
      <family val="2"/>
      <scheme val="minor"/>
    </font>
    <font>
      <b/>
      <sz val="12"/>
      <color theme="1" tint="0.499984740745262"/>
      <name val="Calibri"/>
      <family val="2"/>
      <scheme val="minor"/>
    </font>
  </fonts>
  <fills count="4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6" tint="0.59999389629810485"/>
        <bgColor indexed="64"/>
      </patternFill>
    </fill>
    <fill>
      <patternFill patternType="solid">
        <fgColor rgb="FF00B05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Up">
        <bgColor theme="0"/>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tint="0.79998168889431442"/>
        <bgColor indexed="64"/>
      </patternFill>
    </fill>
    <fill>
      <patternFill patternType="lightUp">
        <bgColor theme="0" tint="-4.9989318521683403E-2"/>
      </patternFill>
    </fill>
    <fill>
      <patternFill patternType="lightUp">
        <bgColor theme="6"/>
      </patternFill>
    </fill>
    <fill>
      <patternFill patternType="lightUp">
        <bgColor theme="6" tint="0.79998168889431442"/>
      </patternFill>
    </fill>
    <fill>
      <patternFill patternType="lightUp">
        <bgColor theme="6" tint="0.59999389629810485"/>
      </patternFill>
    </fill>
    <fill>
      <patternFill patternType="lightUp">
        <bgColor theme="2" tint="-9.9978637043366805E-2"/>
      </patternFill>
    </fill>
    <fill>
      <patternFill patternType="lightUp">
        <bgColor theme="9" tint="0.39997558519241921"/>
      </patternFill>
    </fill>
    <fill>
      <patternFill patternType="lightUp">
        <bgColor theme="9" tint="0.79998168889431442"/>
      </patternFill>
    </fill>
    <fill>
      <patternFill patternType="lightUp">
        <bgColor theme="9" tint="0.59999389629810485"/>
      </patternFill>
    </fill>
    <fill>
      <patternFill patternType="solid">
        <fgColor theme="0"/>
        <bgColor theme="0"/>
      </patternFill>
    </fill>
    <fill>
      <patternFill patternType="solid">
        <fgColor rgb="FF00B050"/>
        <bgColor rgb="FF00B050"/>
      </patternFill>
    </fill>
    <fill>
      <patternFill patternType="solid">
        <fgColor rgb="FFB8CCE4"/>
        <bgColor rgb="FFB8CCE4"/>
      </patternFill>
    </fill>
    <fill>
      <patternFill patternType="solid">
        <fgColor rgb="FFF2F2F2"/>
        <bgColor rgb="FFF2F2F2"/>
      </patternFill>
    </fill>
    <fill>
      <patternFill patternType="solid">
        <fgColor rgb="FFDBE5F1"/>
        <bgColor rgb="FFDBE5F1"/>
      </patternFill>
    </fill>
    <fill>
      <patternFill patternType="solid">
        <fgColor rgb="FFA5A5A5"/>
        <bgColor rgb="FFA5A5A5"/>
      </patternFill>
    </fill>
    <fill>
      <patternFill patternType="solid">
        <fgColor theme="0" tint="-0.34998626667073579"/>
        <bgColor rgb="FFA5A5A5"/>
      </patternFill>
    </fill>
    <fill>
      <patternFill patternType="solid">
        <fgColor rgb="FFDAEEF3"/>
        <bgColor rgb="FFDAEEF3"/>
      </patternFill>
    </fill>
    <fill>
      <patternFill patternType="solid">
        <fgColor rgb="FFD8D8D8"/>
        <bgColor rgb="FFD8D8D8"/>
      </patternFill>
    </fill>
    <fill>
      <patternFill patternType="solid">
        <fgColor rgb="FFBFBFBF"/>
        <bgColor rgb="FFBFBFBF"/>
      </patternFill>
    </fill>
    <fill>
      <patternFill patternType="solid">
        <fgColor theme="8" tint="0.79992065187536243"/>
        <bgColor indexed="64"/>
      </patternFill>
    </fill>
    <fill>
      <patternFill patternType="solid">
        <fgColor theme="5" tint="0.79998168889431442"/>
        <bgColor indexed="64"/>
      </patternFill>
    </fill>
    <fill>
      <patternFill patternType="solid">
        <fgColor rgb="FFDDD9C3"/>
        <bgColor rgb="FFDDD9C3"/>
      </patternFill>
    </fill>
    <fill>
      <patternFill patternType="solid">
        <fgColor theme="2" tint="-0.249977111117893"/>
        <bgColor indexed="64"/>
      </patternFill>
    </fill>
    <fill>
      <patternFill patternType="solid">
        <fgColor theme="2" tint="-9.9978637043366805E-2"/>
        <bgColor indexed="64"/>
      </patternFill>
    </fill>
    <fill>
      <patternFill patternType="solid">
        <fgColor theme="8" tint="0.79998168889431442"/>
        <bgColor theme="0"/>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top style="medium">
        <color indexed="64"/>
      </top>
      <bottom/>
      <diagonal/>
    </border>
    <border>
      <left style="medium">
        <color rgb="FF000000"/>
      </left>
      <right/>
      <top style="medium">
        <color rgb="FF000000"/>
      </top>
      <bottom style="thin">
        <color rgb="FF000000"/>
      </bottom>
      <diagonal/>
    </border>
    <border>
      <left/>
      <right style="medium">
        <color rgb="FF000000"/>
      </right>
      <top style="medium">
        <color rgb="FF000000"/>
      </top>
      <bottom/>
      <diagonal/>
    </border>
    <border>
      <left style="medium">
        <color indexed="64"/>
      </left>
      <right style="medium">
        <color indexed="64"/>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right/>
      <top style="medium">
        <color rgb="FF000000"/>
      </top>
      <bottom style="medium">
        <color rgb="FF000000"/>
      </bottom>
      <diagonal/>
    </border>
    <border>
      <left/>
      <right/>
      <top style="medium">
        <color indexed="64"/>
      </top>
      <bottom style="thin">
        <color indexed="64"/>
      </bottom>
      <diagonal/>
    </border>
    <border>
      <left style="medium">
        <color rgb="FF000000"/>
      </left>
      <right/>
      <top style="medium">
        <color rgb="FF000000"/>
      </top>
      <bottom/>
      <diagonal/>
    </border>
    <border>
      <left/>
      <right style="thin">
        <color rgb="FF000000"/>
      </right>
      <top/>
      <bottom/>
      <diagonal/>
    </border>
  </borders>
  <cellStyleXfs count="49">
    <xf numFmtId="0" fontId="0" fillId="0" borderId="0"/>
    <xf numFmtId="166" fontId="6" fillId="0" borderId="0"/>
    <xf numFmtId="0" fontId="9" fillId="0" borderId="0"/>
    <xf numFmtId="168"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65" fontId="3" fillId="0" borderId="0" applyFont="0" applyFill="0" applyBorder="0" applyAlignment="0" applyProtection="0"/>
    <xf numFmtId="0" fontId="9" fillId="0" borderId="0"/>
    <xf numFmtId="0" fontId="9" fillId="0" borderId="0"/>
    <xf numFmtId="0" fontId="9" fillId="0" borderId="0"/>
    <xf numFmtId="0" fontId="3" fillId="0" borderId="0"/>
    <xf numFmtId="0" fontId="9" fillId="0" borderId="0"/>
    <xf numFmtId="167" fontId="6" fillId="0" borderId="0"/>
    <xf numFmtId="0" fontId="9" fillId="0" borderId="0"/>
    <xf numFmtId="0" fontId="3" fillId="0" borderId="0"/>
    <xf numFmtId="0" fontId="9" fillId="0" borderId="0"/>
    <xf numFmtId="0" fontId="12" fillId="0" borderId="0"/>
    <xf numFmtId="166" fontId="6"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9" fillId="0" borderId="0" applyFill="0" applyBorder="0" applyAlignment="0" applyProtection="0"/>
    <xf numFmtId="9" fontId="12" fillId="0" borderId="0" applyFont="0" applyFill="0" applyBorder="0" applyAlignment="0" applyProtection="0"/>
    <xf numFmtId="0" fontId="9" fillId="0" borderId="8" applyNumberFormat="0" applyFont="0" applyFill="0" applyAlignment="0" applyProtection="0"/>
    <xf numFmtId="0" fontId="9" fillId="0" borderId="8" applyNumberFormat="0" applyFont="0" applyFill="0" applyAlignment="0" applyProtection="0"/>
    <xf numFmtId="0" fontId="9" fillId="0" borderId="8" applyNumberFormat="0" applyFont="0" applyFill="0" applyAlignment="0" applyProtection="0"/>
    <xf numFmtId="166" fontId="6" fillId="0" borderId="0"/>
    <xf numFmtId="164" fontId="3" fillId="0" borderId="0" applyFont="0" applyFill="0" applyBorder="0" applyAlignment="0" applyProtection="0"/>
    <xf numFmtId="9" fontId="3" fillId="0" borderId="0" applyFont="0" applyFill="0" applyBorder="0" applyAlignment="0" applyProtection="0"/>
    <xf numFmtId="0" fontId="52" fillId="0" borderId="0"/>
    <xf numFmtId="0" fontId="79" fillId="0" borderId="0" applyNumberFormat="0" applyFill="0" applyBorder="0" applyAlignment="0" applyProtection="0"/>
  </cellStyleXfs>
  <cellXfs count="903">
    <xf numFmtId="0" fontId="0" fillId="0" borderId="0" xfId="0"/>
    <xf numFmtId="0" fontId="0" fillId="3" borderId="0" xfId="0" applyFill="1" applyProtection="1"/>
    <xf numFmtId="0" fontId="0" fillId="3" borderId="0" xfId="0" applyFill="1" applyProtection="1">
      <protection locked="0"/>
    </xf>
    <xf numFmtId="0" fontId="0" fillId="3" borderId="0" xfId="0" applyFill="1" applyBorder="1" applyProtection="1">
      <protection locked="0"/>
    </xf>
    <xf numFmtId="0" fontId="25" fillId="3" borderId="0" xfId="0" applyFont="1" applyFill="1" applyBorder="1" applyProtection="1"/>
    <xf numFmtId="0" fontId="21" fillId="5" borderId="0" xfId="0" applyFont="1" applyFill="1" applyProtection="1"/>
    <xf numFmtId="0" fontId="0" fillId="0" borderId="0" xfId="0" applyProtection="1"/>
    <xf numFmtId="0" fontId="0" fillId="0" borderId="0" xfId="0" applyProtection="1">
      <protection locked="0"/>
    </xf>
    <xf numFmtId="0" fontId="0" fillId="3" borderId="0" xfId="0" applyFill="1" applyAlignment="1" applyProtection="1">
      <protection locked="0"/>
    </xf>
    <xf numFmtId="0" fontId="0" fillId="3" borderId="0" xfId="0" applyFont="1" applyFill="1" applyAlignment="1" applyProtection="1">
      <alignment vertical="center" wrapText="1"/>
      <protection locked="0"/>
    </xf>
    <xf numFmtId="0" fontId="0" fillId="3" borderId="3" xfId="0" applyFill="1" applyBorder="1" applyProtection="1">
      <protection locked="0"/>
    </xf>
    <xf numFmtId="0" fontId="0" fillId="3" borderId="3" xfId="0"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protection locked="0"/>
    </xf>
    <xf numFmtId="0" fontId="16" fillId="3" borderId="0" xfId="0" applyFont="1" applyFill="1" applyBorder="1" applyAlignment="1" applyProtection="1">
      <alignment vertical="center"/>
    </xf>
    <xf numFmtId="0" fontId="28" fillId="3" borderId="0" xfId="0" applyFont="1" applyFill="1" applyBorder="1" applyAlignment="1" applyProtection="1">
      <alignment vertical="center"/>
    </xf>
    <xf numFmtId="0" fontId="23" fillId="5" borderId="0" xfId="0" applyFont="1" applyFill="1" applyProtection="1"/>
    <xf numFmtId="0" fontId="2" fillId="3" borderId="0" xfId="0" applyFont="1" applyFill="1" applyProtection="1"/>
    <xf numFmtId="0" fontId="2" fillId="0" borderId="0" xfId="0" applyFont="1" applyProtection="1"/>
    <xf numFmtId="0" fontId="24" fillId="3" borderId="0" xfId="0" applyFont="1" applyFill="1" applyProtection="1"/>
    <xf numFmtId="0" fontId="27" fillId="3" borderId="0" xfId="0" quotePrefix="1" applyFont="1" applyFill="1" applyBorder="1" applyAlignment="1" applyProtection="1">
      <alignment vertical="center"/>
    </xf>
    <xf numFmtId="0" fontId="32" fillId="3" borderId="9" xfId="0" applyFont="1" applyFill="1" applyBorder="1" applyProtection="1"/>
    <xf numFmtId="0" fontId="33" fillId="3" borderId="9" xfId="0" applyFont="1" applyFill="1" applyBorder="1" applyProtection="1"/>
    <xf numFmtId="0" fontId="2" fillId="3" borderId="0" xfId="0" applyFont="1" applyFill="1" applyAlignment="1" applyProtection="1">
      <alignment vertical="center"/>
    </xf>
    <xf numFmtId="0" fontId="21" fillId="5" borderId="0" xfId="0" applyFont="1" applyFill="1" applyAlignment="1" applyProtection="1">
      <alignment vertical="center"/>
    </xf>
    <xf numFmtId="0" fontId="17" fillId="3" borderId="3" xfId="0" applyFont="1" applyFill="1" applyBorder="1" applyProtection="1">
      <protection locked="0"/>
    </xf>
    <xf numFmtId="0" fontId="17" fillId="3" borderId="0" xfId="0" applyFont="1" applyFill="1" applyProtection="1">
      <protection locked="0"/>
    </xf>
    <xf numFmtId="0" fontId="17" fillId="0" borderId="0" xfId="0" applyFont="1" applyProtection="1">
      <protection locked="0"/>
    </xf>
    <xf numFmtId="0" fontId="22" fillId="3" borderId="0" xfId="0" applyFont="1" applyFill="1" applyAlignment="1" applyProtection="1">
      <alignment vertical="top"/>
    </xf>
    <xf numFmtId="0" fontId="18" fillId="3" borderId="0" xfId="0" applyFont="1" applyFill="1" applyProtection="1"/>
    <xf numFmtId="0" fontId="14" fillId="5" borderId="0" xfId="0" applyFont="1" applyFill="1" applyAlignment="1" applyProtection="1">
      <alignment vertical="top"/>
    </xf>
    <xf numFmtId="0" fontId="25" fillId="3" borderId="0" xfId="0" applyFont="1" applyFill="1" applyAlignment="1" applyProtection="1">
      <alignment vertical="center"/>
    </xf>
    <xf numFmtId="0" fontId="24" fillId="3" borderId="0" xfId="0" applyFont="1" applyFill="1" applyAlignment="1" applyProtection="1">
      <alignment vertical="center"/>
    </xf>
    <xf numFmtId="0" fontId="26" fillId="3" borderId="0" xfId="0" applyFont="1" applyFill="1" applyProtection="1"/>
    <xf numFmtId="0" fontId="24" fillId="3" borderId="0" xfId="0" applyFont="1" applyFill="1" applyBorder="1" applyAlignment="1" applyProtection="1">
      <alignment horizontal="center"/>
    </xf>
    <xf numFmtId="0" fontId="22" fillId="0" borderId="0" xfId="0" applyFont="1" applyAlignment="1" applyProtection="1">
      <alignment vertical="top"/>
    </xf>
    <xf numFmtId="0" fontId="1" fillId="3" borderId="3" xfId="0" applyFont="1" applyFill="1" applyBorder="1" applyProtection="1">
      <protection locked="0"/>
    </xf>
    <xf numFmtId="0" fontId="1" fillId="3" borderId="0" xfId="0" applyFont="1" applyFill="1" applyProtection="1">
      <protection locked="0"/>
    </xf>
    <xf numFmtId="0" fontId="1" fillId="0" borderId="0" xfId="0" applyFont="1" applyProtection="1">
      <protection locked="0"/>
    </xf>
    <xf numFmtId="0" fontId="39" fillId="0" borderId="0" xfId="0" applyFont="1"/>
    <xf numFmtId="0" fontId="0" fillId="18" borderId="1" xfId="0" applyFill="1" applyBorder="1"/>
    <xf numFmtId="0" fontId="4" fillId="2" borderId="1" xfId="0" applyFont="1" applyFill="1" applyBorder="1" applyAlignment="1">
      <alignment vertical="center"/>
    </xf>
    <xf numFmtId="0" fontId="0" fillId="0" borderId="0" xfId="0" applyAlignment="1">
      <alignment vertical="center"/>
    </xf>
    <xf numFmtId="0" fontId="0" fillId="0" borderId="1" xfId="0" applyFill="1" applyBorder="1" applyAlignment="1">
      <alignment vertical="center"/>
    </xf>
    <xf numFmtId="173" fontId="4" fillId="18" borderId="1" xfId="45" applyNumberFormat="1" applyFont="1" applyFill="1" applyBorder="1" applyAlignment="1">
      <alignment vertical="center"/>
    </xf>
    <xf numFmtId="0" fontId="17" fillId="0" borderId="1" xfId="0" applyFont="1" applyFill="1" applyBorder="1" applyAlignment="1">
      <alignment vertical="center"/>
    </xf>
    <xf numFmtId="173" fontId="17" fillId="18" borderId="1" xfId="45" applyNumberFormat="1" applyFont="1" applyFill="1" applyBorder="1" applyAlignment="1">
      <alignment vertical="center"/>
    </xf>
    <xf numFmtId="0" fontId="1" fillId="0" borderId="0" xfId="0" applyFont="1" applyAlignment="1">
      <alignment vertical="center"/>
    </xf>
    <xf numFmtId="173" fontId="17" fillId="0" borderId="1" xfId="45" applyNumberFormat="1" applyFont="1" applyBorder="1" applyAlignment="1">
      <alignment vertical="center"/>
    </xf>
    <xf numFmtId="176" fontId="17" fillId="19" borderId="1" xfId="45" applyNumberFormat="1" applyFont="1" applyFill="1" applyBorder="1" applyAlignment="1">
      <alignment vertical="center"/>
    </xf>
    <xf numFmtId="11" fontId="0" fillId="0" borderId="0" xfId="0" applyNumberFormat="1" applyAlignment="1">
      <alignment vertical="center"/>
    </xf>
    <xf numFmtId="177" fontId="17" fillId="0" borderId="1" xfId="46" applyNumberFormat="1" applyFont="1" applyBorder="1" applyAlignment="1">
      <alignment vertical="center"/>
    </xf>
    <xf numFmtId="0" fontId="5" fillId="0" borderId="1" xfId="0" applyFont="1" applyFill="1" applyBorder="1" applyAlignment="1">
      <alignment vertical="center"/>
    </xf>
    <xf numFmtId="173" fontId="4" fillId="19" borderId="0" xfId="45" applyNumberFormat="1" applyFont="1" applyFill="1"/>
    <xf numFmtId="0" fontId="4" fillId="0" borderId="0" xfId="0" applyFont="1"/>
    <xf numFmtId="0" fontId="4" fillId="0" borderId="0" xfId="0" applyFont="1" applyAlignment="1">
      <alignment vertical="center"/>
    </xf>
    <xf numFmtId="0" fontId="17" fillId="0" borderId="37" xfId="0" applyFont="1" applyFill="1" applyBorder="1" applyAlignment="1">
      <alignment vertical="center"/>
    </xf>
    <xf numFmtId="0" fontId="1" fillId="0" borderId="0" xfId="0" applyFont="1"/>
    <xf numFmtId="0" fontId="0" fillId="0" borderId="37" xfId="0" applyFill="1" applyBorder="1" applyAlignment="1">
      <alignment vertical="center"/>
    </xf>
    <xf numFmtId="173" fontId="17" fillId="0" borderId="1" xfId="45" applyNumberFormat="1" applyFont="1" applyFill="1" applyBorder="1" applyAlignment="1">
      <alignment vertical="center"/>
    </xf>
    <xf numFmtId="173" fontId="0" fillId="0" borderId="1" xfId="45" applyNumberFormat="1" applyFont="1" applyBorder="1" applyAlignment="1">
      <alignment vertical="center"/>
    </xf>
    <xf numFmtId="0" fontId="4" fillId="0" borderId="1" xfId="0" applyFont="1" applyFill="1" applyBorder="1" applyAlignment="1">
      <alignment vertical="center"/>
    </xf>
    <xf numFmtId="173" fontId="5" fillId="19" borderId="1" xfId="45" applyNumberFormat="1" applyFont="1" applyFill="1" applyBorder="1" applyAlignment="1">
      <alignment vertical="center"/>
    </xf>
    <xf numFmtId="0" fontId="0" fillId="0" borderId="1" xfId="0" applyFont="1" applyBorder="1" applyAlignment="1">
      <alignment vertical="center"/>
    </xf>
    <xf numFmtId="0" fontId="0" fillId="0" borderId="1" xfId="0" applyBorder="1" applyAlignment="1">
      <alignment vertical="center"/>
    </xf>
    <xf numFmtId="0" fontId="4" fillId="18" borderId="1" xfId="0" applyFont="1" applyFill="1" applyBorder="1" applyAlignment="1">
      <alignment horizontal="right" vertical="center"/>
    </xf>
    <xf numFmtId="0" fontId="0" fillId="0" borderId="1" xfId="0" applyBorder="1" applyAlignment="1">
      <alignment horizontal="left" vertical="center"/>
    </xf>
    <xf numFmtId="0" fontId="17" fillId="18" borderId="1" xfId="0" applyFont="1" applyFill="1" applyBorder="1" applyAlignment="1">
      <alignment horizontal="right" vertical="center"/>
    </xf>
    <xf numFmtId="0" fontId="0" fillId="0" borderId="6" xfId="0" applyFont="1" applyBorder="1" applyAlignment="1">
      <alignment horizontal="left" vertical="center"/>
    </xf>
    <xf numFmtId="0" fontId="0" fillId="0" borderId="1" xfId="0" applyFont="1" applyBorder="1" applyAlignment="1">
      <alignment horizontal="left" vertical="center"/>
    </xf>
    <xf numFmtId="173" fontId="0" fillId="19" borderId="1" xfId="45" applyNumberFormat="1" applyFont="1" applyFill="1" applyBorder="1" applyAlignment="1">
      <alignment horizontal="right" vertical="center"/>
    </xf>
    <xf numFmtId="2" fontId="0" fillId="0" borderId="1" xfId="0" applyNumberFormat="1" applyBorder="1" applyAlignment="1">
      <alignment horizontal="right" vertical="center"/>
    </xf>
    <xf numFmtId="177" fontId="0" fillId="0" borderId="1" xfId="46" applyNumberFormat="1" applyFont="1" applyBorder="1" applyAlignment="1">
      <alignment vertical="center"/>
    </xf>
    <xf numFmtId="176" fontId="4" fillId="19" borderId="1" xfId="45" applyNumberFormat="1" applyFont="1" applyFill="1" applyBorder="1" applyAlignment="1">
      <alignment vertical="center"/>
    </xf>
    <xf numFmtId="173" fontId="0" fillId="0" borderId="0" xfId="45" applyNumberFormat="1" applyFont="1" applyAlignment="1">
      <alignment vertical="center"/>
    </xf>
    <xf numFmtId="0" fontId="5" fillId="18" borderId="1" xfId="0" applyFont="1" applyFill="1" applyBorder="1" applyAlignment="1">
      <alignment horizontal="right" vertical="center"/>
    </xf>
    <xf numFmtId="173" fontId="0" fillId="18" borderId="1" xfId="45" applyNumberFormat="1" applyFont="1" applyFill="1" applyBorder="1" applyAlignment="1">
      <alignment horizontal="right" vertical="center"/>
    </xf>
    <xf numFmtId="0" fontId="0" fillId="0" borderId="1" xfId="0" applyFill="1" applyBorder="1" applyAlignment="1">
      <alignment horizontal="right" vertical="center"/>
    </xf>
    <xf numFmtId="3" fontId="0" fillId="0" borderId="1" xfId="0" applyNumberFormat="1" applyFont="1" applyFill="1" applyBorder="1" applyAlignment="1">
      <alignment horizontal="right" vertical="center"/>
    </xf>
    <xf numFmtId="172" fontId="0" fillId="0" borderId="1" xfId="0" applyNumberFormat="1" applyBorder="1" applyAlignment="1">
      <alignment horizontal="right" vertical="center"/>
    </xf>
    <xf numFmtId="173" fontId="0" fillId="19" borderId="0" xfId="45" applyNumberFormat="1" applyFont="1" applyFill="1"/>
    <xf numFmtId="10" fontId="4" fillId="0" borderId="1" xfId="46" applyNumberFormat="1" applyFont="1" applyFill="1" applyBorder="1" applyAlignment="1">
      <alignment vertical="center"/>
    </xf>
    <xf numFmtId="172" fontId="0" fillId="19" borderId="1" xfId="0" applyNumberFormat="1" applyFill="1" applyBorder="1" applyAlignment="1">
      <alignment horizontal="right" vertical="center"/>
    </xf>
    <xf numFmtId="0" fontId="38" fillId="3" borderId="0" xfId="0" quotePrefix="1" applyFont="1" applyFill="1" applyBorder="1" applyAlignment="1" applyProtection="1">
      <alignment horizontal="center" vertical="center" wrapText="1"/>
    </xf>
    <xf numFmtId="0" fontId="4" fillId="0" borderId="1" xfId="0" applyFont="1" applyBorder="1" applyAlignment="1">
      <alignment vertical="center"/>
    </xf>
    <xf numFmtId="173" fontId="4" fillId="19" borderId="1" xfId="45" applyNumberFormat="1" applyFont="1" applyFill="1" applyBorder="1" applyAlignment="1">
      <alignment horizontal="right" vertical="center"/>
    </xf>
    <xf numFmtId="0" fontId="4" fillId="0" borderId="1" xfId="0" applyFont="1" applyBorder="1" applyAlignment="1">
      <alignment horizontal="left" vertical="center"/>
    </xf>
    <xf numFmtId="0" fontId="19" fillId="0" borderId="0" xfId="0" applyFont="1" applyAlignment="1">
      <alignment vertical="center"/>
    </xf>
    <xf numFmtId="173" fontId="4" fillId="0" borderId="1" xfId="45" applyNumberFormat="1" applyFont="1" applyFill="1" applyBorder="1" applyAlignment="1">
      <alignment horizontal="right" vertical="center"/>
    </xf>
    <xf numFmtId="173" fontId="5" fillId="0" borderId="1" xfId="45" applyNumberFormat="1" applyFont="1" applyBorder="1" applyAlignment="1">
      <alignment vertical="center"/>
    </xf>
    <xf numFmtId="3" fontId="4" fillId="0" borderId="1" xfId="0" applyNumberFormat="1" applyFont="1" applyFill="1" applyBorder="1" applyAlignment="1">
      <alignment horizontal="right" vertical="center"/>
    </xf>
    <xf numFmtId="173" fontId="4" fillId="0" borderId="1" xfId="45" applyNumberFormat="1" applyFont="1" applyBorder="1" applyAlignment="1">
      <alignment vertical="center"/>
    </xf>
    <xf numFmtId="164" fontId="4" fillId="0" borderId="1" xfId="45" applyNumberFormat="1" applyFont="1" applyBorder="1" applyAlignment="1">
      <alignment vertical="center"/>
    </xf>
    <xf numFmtId="0" fontId="4" fillId="0" borderId="1" xfId="0" applyFont="1" applyFill="1" applyBorder="1" applyAlignment="1">
      <alignment vertical="center" wrapText="1"/>
    </xf>
    <xf numFmtId="2" fontId="0" fillId="19" borderId="1" xfId="0" applyNumberFormat="1" applyFill="1" applyBorder="1" applyAlignment="1">
      <alignment horizontal="right" vertical="center"/>
    </xf>
    <xf numFmtId="3" fontId="0" fillId="0" borderId="0" xfId="0" applyNumberFormat="1" applyAlignment="1">
      <alignment vertical="center"/>
    </xf>
    <xf numFmtId="173" fontId="4" fillId="0" borderId="0" xfId="0" applyNumberFormat="1" applyFont="1" applyAlignment="1">
      <alignment vertical="center"/>
    </xf>
    <xf numFmtId="178" fontId="4" fillId="19" borderId="1" xfId="45" applyNumberFormat="1" applyFont="1" applyFill="1" applyBorder="1" applyAlignment="1">
      <alignment vertical="center"/>
    </xf>
    <xf numFmtId="164" fontId="5" fillId="19" borderId="1" xfId="45" applyNumberFormat="1" applyFont="1" applyFill="1" applyBorder="1" applyAlignment="1">
      <alignment vertical="center"/>
    </xf>
    <xf numFmtId="175" fontId="0" fillId="0" borderId="1" xfId="0" applyNumberFormat="1" applyBorder="1" applyAlignment="1">
      <alignment horizontal="right" vertical="center"/>
    </xf>
    <xf numFmtId="0" fontId="42" fillId="3" borderId="0" xfId="0" applyFont="1" applyFill="1" applyBorder="1" applyProtection="1"/>
    <xf numFmtId="0" fontId="41" fillId="0" borderId="0" xfId="0" applyFont="1" applyProtection="1"/>
    <xf numFmtId="0" fontId="0" fillId="0" borderId="0" xfId="0" applyFont="1" applyAlignment="1">
      <alignment vertical="center"/>
    </xf>
    <xf numFmtId="173" fontId="5" fillId="18" borderId="1" xfId="45" applyNumberFormat="1" applyFont="1" applyFill="1" applyBorder="1" applyAlignment="1">
      <alignment horizontal="right" vertical="center"/>
    </xf>
    <xf numFmtId="0" fontId="33" fillId="3" borderId="9" xfId="0" applyFont="1" applyFill="1" applyBorder="1" applyProtection="1">
      <protection locked="0"/>
    </xf>
    <xf numFmtId="0" fontId="32" fillId="3" borderId="9" xfId="0" applyFont="1" applyFill="1" applyBorder="1" applyProtection="1">
      <protection locked="0"/>
    </xf>
    <xf numFmtId="0" fontId="33" fillId="3" borderId="9" xfId="0" applyFont="1" applyFill="1" applyBorder="1" applyAlignment="1" applyProtection="1">
      <alignment horizontal="center"/>
      <protection locked="0"/>
    </xf>
    <xf numFmtId="0" fontId="17" fillId="3" borderId="9" xfId="0" applyFont="1" applyFill="1" applyBorder="1" applyProtection="1">
      <protection locked="0"/>
    </xf>
    <xf numFmtId="0" fontId="1" fillId="3" borderId="9" xfId="0" applyFont="1" applyFill="1" applyBorder="1" applyProtection="1">
      <protection locked="0"/>
    </xf>
    <xf numFmtId="0" fontId="0" fillId="3" borderId="0" xfId="0" applyFill="1" applyAlignment="1" applyProtection="1">
      <alignment horizontal="center"/>
      <protection locked="0"/>
    </xf>
    <xf numFmtId="0" fontId="1" fillId="3" borderId="0" xfId="0" applyFont="1" applyFill="1" applyAlignment="1" applyProtection="1">
      <alignment horizontal="center"/>
      <protection locked="0"/>
    </xf>
    <xf numFmtId="166" fontId="40" fillId="0" borderId="0" xfId="1" applyFont="1" applyFill="1" applyAlignment="1" applyProtection="1">
      <alignment horizontal="left" vertical="center"/>
      <protection locked="0"/>
    </xf>
    <xf numFmtId="0" fontId="8" fillId="0" borderId="1"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top" wrapText="1"/>
      <protection locked="0"/>
    </xf>
    <xf numFmtId="0" fontId="0" fillId="3" borderId="1" xfId="0" applyFill="1" applyBorder="1" applyProtection="1">
      <protection locked="0"/>
    </xf>
    <xf numFmtId="0" fontId="15" fillId="3" borderId="1" xfId="0" applyFont="1" applyFill="1" applyBorder="1" applyProtection="1">
      <protection locked="0"/>
    </xf>
    <xf numFmtId="0" fontId="7" fillId="0" borderId="0" xfId="0" applyFont="1" applyFill="1" applyBorder="1" applyAlignment="1" applyProtection="1">
      <alignment vertical="top" wrapText="1"/>
      <protection locked="0"/>
    </xf>
    <xf numFmtId="10" fontId="15" fillId="6" borderId="1" xfId="25" applyNumberFormat="1" applyFont="1" applyFill="1" applyBorder="1" applyAlignment="1" applyProtection="1">
      <alignment horizontal="center" vertical="center"/>
      <protection locked="0"/>
    </xf>
    <xf numFmtId="173" fontId="15" fillId="6" borderId="1" xfId="45" applyNumberFormat="1" applyFont="1" applyFill="1" applyBorder="1" applyAlignment="1" applyProtection="1">
      <alignment horizontal="center" vertical="center"/>
      <protection locked="0"/>
    </xf>
    <xf numFmtId="0" fontId="7" fillId="0" borderId="0" xfId="0" applyFont="1" applyFill="1" applyBorder="1" applyAlignment="1" applyProtection="1">
      <alignment vertical="top"/>
      <protection locked="0"/>
    </xf>
    <xf numFmtId="0" fontId="2" fillId="3" borderId="0" xfId="0" applyFont="1" applyFill="1" applyAlignment="1" applyProtection="1">
      <alignment horizontal="center"/>
    </xf>
    <xf numFmtId="0" fontId="27" fillId="0" borderId="0" xfId="0" applyFont="1" applyProtection="1"/>
    <xf numFmtId="0" fontId="18" fillId="0" borderId="0" xfId="0" applyFont="1" applyProtection="1"/>
    <xf numFmtId="0" fontId="2" fillId="0" borderId="0" xfId="0" applyFont="1" applyAlignment="1" applyProtection="1"/>
    <xf numFmtId="0" fontId="21" fillId="5" borderId="0" xfId="0" applyFont="1" applyFill="1" applyAlignment="1" applyProtection="1">
      <alignment horizontal="center" vertical="center"/>
    </xf>
    <xf numFmtId="0" fontId="34" fillId="5" borderId="0" xfId="0" applyFont="1" applyFill="1" applyProtection="1"/>
    <xf numFmtId="0" fontId="35" fillId="5" borderId="0" xfId="0" applyFont="1" applyFill="1" applyProtection="1"/>
    <xf numFmtId="0" fontId="23" fillId="5" borderId="0" xfId="0" applyFont="1" applyFill="1" applyAlignment="1" applyProtection="1"/>
    <xf numFmtId="0" fontId="24" fillId="0" borderId="0" xfId="0" applyFont="1" applyProtection="1"/>
    <xf numFmtId="0" fontId="41" fillId="3" borderId="0" xfId="0" applyFont="1" applyFill="1" applyProtection="1"/>
    <xf numFmtId="0" fontId="41" fillId="0" borderId="0" xfId="0" applyFont="1" applyAlignment="1" applyProtection="1"/>
    <xf numFmtId="0" fontId="43" fillId="0" borderId="0" xfId="0" applyFont="1" applyAlignment="1" applyProtection="1"/>
    <xf numFmtId="0" fontId="44" fillId="0" borderId="0" xfId="0" applyFont="1" applyAlignment="1" applyProtection="1"/>
    <xf numFmtId="0" fontId="29" fillId="3" borderId="0" xfId="0" applyFont="1" applyFill="1" applyAlignment="1" applyProtection="1">
      <alignment horizontal="center"/>
    </xf>
    <xf numFmtId="0" fontId="29" fillId="3" borderId="0" xfId="0" applyFont="1" applyFill="1" applyAlignment="1" applyProtection="1">
      <alignment horizontal="left"/>
    </xf>
    <xf numFmtId="0" fontId="2" fillId="3" borderId="0" xfId="0" applyFont="1" applyFill="1" applyBorder="1" applyAlignment="1" applyProtection="1">
      <alignment horizontal="center"/>
    </xf>
    <xf numFmtId="0" fontId="3" fillId="3" borderId="0" xfId="25" applyFill="1" applyProtection="1"/>
    <xf numFmtId="0" fontId="45" fillId="0" borderId="0" xfId="0" applyFont="1" applyAlignment="1" applyProtection="1">
      <alignment horizontal="left" vertical="center"/>
    </xf>
    <xf numFmtId="0" fontId="47" fillId="3" borderId="0" xfId="0" applyFont="1" applyFill="1" applyAlignment="1" applyProtection="1">
      <alignment horizontal="center" vertical="center"/>
    </xf>
    <xf numFmtId="0" fontId="47" fillId="0" borderId="0" xfId="0" applyFont="1" applyAlignment="1" applyProtection="1">
      <alignment horizontal="center" vertical="center"/>
    </xf>
    <xf numFmtId="0" fontId="48" fillId="3" borderId="0" xfId="0" quotePrefix="1" applyFont="1" applyFill="1" applyBorder="1" applyAlignment="1" applyProtection="1">
      <alignment horizontal="center" vertical="center" wrapText="1"/>
    </xf>
    <xf numFmtId="0" fontId="48" fillId="0" borderId="0" xfId="0" applyFont="1" applyAlignment="1" applyProtection="1">
      <alignment horizontal="center" vertical="center"/>
    </xf>
    <xf numFmtId="0" fontId="49" fillId="0" borderId="0" xfId="0" applyFont="1" applyAlignment="1" applyProtection="1">
      <alignment horizontal="center" vertical="center"/>
    </xf>
    <xf numFmtId="0" fontId="0" fillId="0" borderId="1" xfId="0" applyFont="1" applyFill="1" applyBorder="1" applyAlignment="1">
      <alignment vertical="center"/>
    </xf>
    <xf numFmtId="173" fontId="0" fillId="19" borderId="0" xfId="45" applyNumberFormat="1" applyFont="1" applyFill="1" applyBorder="1" applyAlignment="1">
      <alignment horizontal="right" vertical="center"/>
    </xf>
    <xf numFmtId="2" fontId="0" fillId="19" borderId="0" xfId="0" applyNumberFormat="1" applyFill="1" applyAlignment="1">
      <alignment vertical="center"/>
    </xf>
    <xf numFmtId="0" fontId="22" fillId="3" borderId="0" xfId="0" applyFont="1" applyFill="1" applyAlignment="1" applyProtection="1">
      <alignment vertical="center"/>
    </xf>
    <xf numFmtId="0" fontId="24" fillId="3" borderId="0" xfId="0" applyFont="1" applyFill="1" applyBorder="1" applyAlignment="1" applyProtection="1">
      <alignment vertical="center"/>
    </xf>
    <xf numFmtId="0" fontId="2" fillId="3" borderId="0" xfId="0" applyFont="1" applyFill="1" applyBorder="1" applyAlignment="1" applyProtection="1">
      <alignment vertical="center"/>
    </xf>
    <xf numFmtId="0" fontId="27" fillId="3" borderId="0" xfId="0" quotePrefix="1" applyFont="1" applyFill="1" applyBorder="1" applyAlignment="1" applyProtection="1">
      <alignment vertical="center" wrapText="1"/>
    </xf>
    <xf numFmtId="164" fontId="0" fillId="0" borderId="0" xfId="45" applyFont="1" applyAlignment="1">
      <alignment vertical="center"/>
    </xf>
    <xf numFmtId="176" fontId="1" fillId="0" borderId="0" xfId="45" applyNumberFormat="1" applyFont="1" applyAlignment="1">
      <alignment vertical="center"/>
    </xf>
    <xf numFmtId="0" fontId="42" fillId="3" borderId="0" xfId="0" applyFont="1" applyFill="1" applyBorder="1" applyAlignment="1" applyProtection="1">
      <alignment horizontal="left"/>
    </xf>
    <xf numFmtId="0" fontId="27" fillId="3" borderId="0" xfId="0" applyFont="1" applyFill="1" applyBorder="1" applyAlignment="1" applyProtection="1">
      <alignment vertical="center" wrapText="1"/>
    </xf>
    <xf numFmtId="0" fontId="53" fillId="0" borderId="0" xfId="47" applyFont="1"/>
    <xf numFmtId="0" fontId="53" fillId="30" borderId="0" xfId="47" applyFont="1" applyFill="1" applyAlignment="1">
      <alignment vertical="center"/>
    </xf>
    <xf numFmtId="0" fontId="53" fillId="30" borderId="0" xfId="47" applyFont="1" applyFill="1" applyAlignment="1">
      <alignment vertical="center" wrapText="1"/>
    </xf>
    <xf numFmtId="0" fontId="53" fillId="30" borderId="0" xfId="47" applyFont="1" applyFill="1"/>
    <xf numFmtId="0" fontId="52" fillId="0" borderId="0" xfId="47"/>
    <xf numFmtId="0" fontId="54" fillId="31" borderId="0" xfId="47" applyFont="1" applyFill="1"/>
    <xf numFmtId="0" fontId="54" fillId="31" borderId="0" xfId="47" applyFont="1" applyFill="1" applyAlignment="1">
      <alignment wrapText="1"/>
    </xf>
    <xf numFmtId="0" fontId="54" fillId="31" borderId="0" xfId="47" applyFont="1" applyFill="1" applyAlignment="1">
      <alignment vertical="center"/>
    </xf>
    <xf numFmtId="0" fontId="53" fillId="0" borderId="0" xfId="47" applyFont="1" applyAlignment="1">
      <alignment wrapText="1"/>
    </xf>
    <xf numFmtId="0" fontId="12" fillId="30" borderId="0" xfId="47" applyFont="1" applyFill="1" applyAlignment="1">
      <alignment vertical="center"/>
    </xf>
    <xf numFmtId="0" fontId="12" fillId="32" borderId="44" xfId="47" applyFont="1" applyFill="1" applyBorder="1" applyAlignment="1">
      <alignment horizontal="left" vertical="center"/>
    </xf>
    <xf numFmtId="0" fontId="55" fillId="32" borderId="44" xfId="47" applyFont="1" applyFill="1" applyBorder="1" applyAlignment="1">
      <alignment horizontal="left" vertical="center" wrapText="1"/>
    </xf>
    <xf numFmtId="0" fontId="55" fillId="32" borderId="44" xfId="47" applyFont="1" applyFill="1" applyBorder="1" applyAlignment="1">
      <alignment vertical="center" wrapText="1"/>
    </xf>
    <xf numFmtId="0" fontId="55" fillId="32" borderId="44" xfId="47" applyFont="1" applyFill="1" applyBorder="1" applyAlignment="1">
      <alignment horizontal="center" vertical="center" wrapText="1"/>
    </xf>
    <xf numFmtId="0" fontId="12" fillId="30" borderId="0" xfId="47" applyFont="1" applyFill="1" applyAlignment="1">
      <alignment vertical="center" wrapText="1"/>
    </xf>
    <xf numFmtId="0" fontId="12" fillId="30" borderId="0" xfId="47" applyFont="1" applyFill="1" applyAlignment="1">
      <alignment horizontal="left" vertical="center"/>
    </xf>
    <xf numFmtId="0" fontId="55" fillId="35" borderId="48" xfId="47" applyFont="1" applyFill="1" applyBorder="1" applyAlignment="1">
      <alignment horizontal="left" vertical="center" wrapText="1"/>
    </xf>
    <xf numFmtId="176" fontId="12" fillId="30" borderId="0" xfId="47" applyNumberFormat="1" applyFont="1" applyFill="1" applyAlignment="1">
      <alignment vertical="center"/>
    </xf>
    <xf numFmtId="0" fontId="12" fillId="30" borderId="50" xfId="47" applyFont="1" applyFill="1" applyBorder="1"/>
    <xf numFmtId="0" fontId="12" fillId="30" borderId="50" xfId="47" applyFont="1" applyFill="1" applyBorder="1" applyAlignment="1">
      <alignment horizontal="center" wrapText="1"/>
    </xf>
    <xf numFmtId="0" fontId="12" fillId="30" borderId="50" xfId="47" applyFont="1" applyFill="1" applyBorder="1" applyAlignment="1">
      <alignment horizontal="center"/>
    </xf>
    <xf numFmtId="0" fontId="58" fillId="30" borderId="50" xfId="47" applyFont="1" applyFill="1" applyBorder="1" applyAlignment="1">
      <alignment horizontal="center"/>
    </xf>
    <xf numFmtId="0" fontId="60" fillId="30" borderId="51" xfId="47" applyFont="1" applyFill="1" applyBorder="1"/>
    <xf numFmtId="0" fontId="61" fillId="30" borderId="51" xfId="47" applyFont="1" applyFill="1" applyBorder="1"/>
    <xf numFmtId="0" fontId="60" fillId="30" borderId="51" xfId="47" applyFont="1" applyFill="1" applyBorder="1" applyAlignment="1">
      <alignment wrapText="1"/>
    </xf>
    <xf numFmtId="9" fontId="12" fillId="30" borderId="0" xfId="47" applyNumberFormat="1" applyFont="1" applyFill="1" applyAlignment="1">
      <alignment vertical="center"/>
    </xf>
    <xf numFmtId="2" fontId="12" fillId="30" borderId="0" xfId="47" applyNumberFormat="1" applyFont="1" applyFill="1" applyAlignment="1">
      <alignment vertical="center"/>
    </xf>
    <xf numFmtId="172" fontId="12" fillId="30" borderId="0" xfId="47" applyNumberFormat="1" applyFont="1" applyFill="1" applyAlignment="1">
      <alignment vertical="center"/>
    </xf>
    <xf numFmtId="178" fontId="12" fillId="30" borderId="0" xfId="47" applyNumberFormat="1" applyFont="1" applyFill="1" applyAlignment="1">
      <alignment vertical="center"/>
    </xf>
    <xf numFmtId="0" fontId="55" fillId="32" borderId="45" xfId="47" applyFont="1" applyFill="1" applyBorder="1" applyAlignment="1">
      <alignment horizontal="left" vertical="center" wrapText="1"/>
    </xf>
    <xf numFmtId="0" fontId="60" fillId="30" borderId="0" xfId="47" applyFont="1" applyFill="1"/>
    <xf numFmtId="0" fontId="61" fillId="30" borderId="0" xfId="47" applyFont="1" applyFill="1"/>
    <xf numFmtId="0" fontId="60" fillId="30" borderId="0" xfId="47" applyFont="1" applyFill="1" applyAlignment="1">
      <alignment wrapText="1"/>
    </xf>
    <xf numFmtId="0" fontId="30" fillId="0" borderId="1" xfId="0" applyFont="1" applyFill="1" applyBorder="1" applyAlignment="1" applyProtection="1">
      <alignment horizontal="center" vertical="top" wrapText="1"/>
      <protection locked="0"/>
    </xf>
    <xf numFmtId="0" fontId="30" fillId="0" borderId="1" xfId="0" applyFont="1" applyFill="1" applyBorder="1" applyAlignment="1" applyProtection="1">
      <alignment horizontal="left" wrapText="1"/>
      <protection locked="0"/>
    </xf>
    <xf numFmtId="0" fontId="53" fillId="30" borderId="55" xfId="47" applyFont="1" applyFill="1" applyBorder="1" applyAlignment="1">
      <alignment vertical="center"/>
    </xf>
    <xf numFmtId="0" fontId="53" fillId="30" borderId="51" xfId="47" applyFont="1" applyFill="1" applyBorder="1"/>
    <xf numFmtId="0" fontId="64" fillId="31" borderId="56" xfId="47" applyFont="1" applyFill="1" applyBorder="1"/>
    <xf numFmtId="0" fontId="64" fillId="31" borderId="0" xfId="47" applyFont="1" applyFill="1"/>
    <xf numFmtId="0" fontId="53" fillId="30" borderId="56" xfId="47" applyFont="1" applyFill="1" applyBorder="1" applyAlignment="1">
      <alignment vertical="center"/>
    </xf>
    <xf numFmtId="0" fontId="65" fillId="30" borderId="0" xfId="47" applyFont="1" applyFill="1" applyAlignment="1">
      <alignment horizontal="left" vertical="center" wrapText="1"/>
    </xf>
    <xf numFmtId="0" fontId="12" fillId="30" borderId="0" xfId="47" applyFont="1" applyFill="1"/>
    <xf numFmtId="0" fontId="66" fillId="30" borderId="56" xfId="47" applyFont="1" applyFill="1" applyBorder="1" applyAlignment="1">
      <alignment vertical="center"/>
    </xf>
    <xf numFmtId="0" fontId="67" fillId="30" borderId="0" xfId="47" applyFont="1" applyFill="1"/>
    <xf numFmtId="0" fontId="66" fillId="30" borderId="0" xfId="47" applyFont="1" applyFill="1"/>
    <xf numFmtId="0" fontId="12" fillId="30" borderId="56" xfId="47" applyFont="1" applyFill="1" applyBorder="1" applyAlignment="1">
      <alignment vertical="center"/>
    </xf>
    <xf numFmtId="0" fontId="12" fillId="30" borderId="0" xfId="47" applyFont="1" applyFill="1" applyAlignment="1">
      <alignment horizontal="center" vertical="center" wrapText="1"/>
    </xf>
    <xf numFmtId="0" fontId="71" fillId="36" borderId="52" xfId="47" applyFont="1" applyFill="1" applyBorder="1" applyAlignment="1">
      <alignment vertical="center"/>
    </xf>
    <xf numFmtId="0" fontId="72" fillId="36" borderId="57" xfId="47" applyFont="1" applyFill="1" applyBorder="1" applyAlignment="1">
      <alignment vertical="center"/>
    </xf>
    <xf numFmtId="0" fontId="72" fillId="35" borderId="57" xfId="47" applyFont="1" applyFill="1" applyBorder="1" applyAlignment="1">
      <alignment vertical="center"/>
    </xf>
    <xf numFmtId="0" fontId="55" fillId="35" borderId="57" xfId="47" applyFont="1" applyFill="1" applyBorder="1" applyAlignment="1">
      <alignment horizontal="center" vertical="center"/>
    </xf>
    <xf numFmtId="0" fontId="55" fillId="30" borderId="56" xfId="47" applyFont="1" applyFill="1" applyBorder="1" applyAlignment="1">
      <alignment vertical="center" wrapText="1"/>
    </xf>
    <xf numFmtId="0" fontId="55" fillId="30" borderId="0" xfId="47" applyFont="1" applyFill="1" applyAlignment="1">
      <alignment vertical="center" wrapText="1"/>
    </xf>
    <xf numFmtId="0" fontId="55" fillId="35" borderId="44" xfId="47" applyFont="1" applyFill="1" applyBorder="1" applyAlignment="1">
      <alignment horizontal="center" vertical="center" wrapText="1"/>
    </xf>
    <xf numFmtId="0" fontId="55" fillId="35" borderId="45" xfId="47" applyFont="1" applyFill="1" applyBorder="1" applyAlignment="1">
      <alignment horizontal="center" vertical="center" wrapText="1"/>
    </xf>
    <xf numFmtId="2" fontId="12" fillId="37" borderId="44" xfId="47" applyNumberFormat="1" applyFont="1" applyFill="1" applyBorder="1" applyAlignment="1">
      <alignment horizontal="right" vertical="center"/>
    </xf>
    <xf numFmtId="0" fontId="12" fillId="37" borderId="44" xfId="47" applyFont="1" applyFill="1" applyBorder="1" applyAlignment="1">
      <alignment horizontal="right" vertical="center"/>
    </xf>
    <xf numFmtId="2" fontId="55" fillId="37" borderId="44" xfId="47" applyNumberFormat="1" applyFont="1" applyFill="1" applyBorder="1" applyAlignment="1">
      <alignment horizontal="right" vertical="center"/>
    </xf>
    <xf numFmtId="0" fontId="12" fillId="30" borderId="56" xfId="47" applyFont="1" applyFill="1" applyBorder="1"/>
    <xf numFmtId="0" fontId="65" fillId="30" borderId="0" xfId="47" applyFont="1" applyFill="1" applyAlignment="1">
      <alignment horizontal="center" vertical="center" wrapText="1"/>
    </xf>
    <xf numFmtId="0" fontId="12" fillId="30" borderId="44" xfId="47" applyFont="1" applyFill="1" applyBorder="1"/>
    <xf numFmtId="0" fontId="55" fillId="30" borderId="44" xfId="47" applyFont="1" applyFill="1" applyBorder="1" applyAlignment="1">
      <alignment vertical="center"/>
    </xf>
    <xf numFmtId="166" fontId="74" fillId="0" borderId="53" xfId="47" applyNumberFormat="1" applyFont="1" applyBorder="1" applyAlignment="1">
      <alignment horizontal="center" vertical="center" wrapText="1"/>
    </xf>
    <xf numFmtId="166" fontId="74" fillId="0" borderId="44" xfId="47" applyNumberFormat="1" applyFont="1" applyBorder="1" applyAlignment="1">
      <alignment horizontal="center" vertical="center" wrapText="1"/>
    </xf>
    <xf numFmtId="167" fontId="73" fillId="0" borderId="53" xfId="47" applyNumberFormat="1" applyFont="1" applyBorder="1" applyAlignment="1">
      <alignment horizontal="center" vertical="center"/>
    </xf>
    <xf numFmtId="11" fontId="73" fillId="0" borderId="44" xfId="47" applyNumberFormat="1" applyFont="1" applyBorder="1" applyAlignment="1">
      <alignment horizontal="center" vertical="center"/>
    </xf>
    <xf numFmtId="166" fontId="73" fillId="0" borderId="53" xfId="47" applyNumberFormat="1" applyFont="1" applyBorder="1" applyAlignment="1">
      <alignment horizontal="center" vertical="center"/>
    </xf>
    <xf numFmtId="166" fontId="74" fillId="0" borderId="57" xfId="47" applyNumberFormat="1" applyFont="1" applyBorder="1" applyAlignment="1">
      <alignment horizontal="center" vertical="center"/>
    </xf>
    <xf numFmtId="0" fontId="52" fillId="3" borderId="0" xfId="47" applyFill="1"/>
    <xf numFmtId="0" fontId="55" fillId="35" borderId="58" xfId="47" applyFont="1" applyFill="1" applyBorder="1" applyAlignment="1">
      <alignment horizontal="center" vertical="center"/>
    </xf>
    <xf numFmtId="0" fontId="75" fillId="0" borderId="44" xfId="47" applyFont="1" applyBorder="1" applyAlignment="1">
      <alignment vertical="center"/>
    </xf>
    <xf numFmtId="0" fontId="73" fillId="30" borderId="44" xfId="47" applyFont="1" applyFill="1" applyBorder="1" applyAlignment="1">
      <alignment vertical="top"/>
    </xf>
    <xf numFmtId="0" fontId="73" fillId="30" borderId="44" xfId="47" applyFont="1" applyFill="1" applyBorder="1" applyAlignment="1"/>
    <xf numFmtId="9" fontId="0" fillId="0" borderId="0" xfId="46" applyFont="1"/>
    <xf numFmtId="9" fontId="5" fillId="19" borderId="1" xfId="46" applyFont="1" applyFill="1" applyBorder="1" applyAlignment="1">
      <alignment vertical="center"/>
    </xf>
    <xf numFmtId="173" fontId="17" fillId="19" borderId="1" xfId="45" applyNumberFormat="1" applyFont="1" applyFill="1" applyBorder="1" applyAlignment="1">
      <alignment vertical="center"/>
    </xf>
    <xf numFmtId="0" fontId="0" fillId="0" borderId="1" xfId="0" applyFont="1" applyBorder="1"/>
    <xf numFmtId="173" fontId="17" fillId="17" borderId="1" xfId="45" applyNumberFormat="1" applyFont="1" applyFill="1" applyBorder="1" applyAlignment="1">
      <alignment vertical="center"/>
    </xf>
    <xf numFmtId="164" fontId="17" fillId="19" borderId="1" xfId="45" applyNumberFormat="1" applyFont="1" applyFill="1" applyBorder="1" applyAlignment="1">
      <alignment vertical="center"/>
    </xf>
    <xf numFmtId="164" fontId="0" fillId="0" borderId="0" xfId="0" applyNumberFormat="1" applyAlignment="1">
      <alignment vertical="center"/>
    </xf>
    <xf numFmtId="0" fontId="1" fillId="0" borderId="1" xfId="0" applyFont="1" applyFill="1" applyBorder="1" applyAlignment="1">
      <alignment vertical="center"/>
    </xf>
    <xf numFmtId="0" fontId="22" fillId="13" borderId="1" xfId="0" applyFont="1" applyFill="1" applyBorder="1"/>
    <xf numFmtId="0" fontId="2" fillId="13" borderId="1" xfId="0" applyFont="1" applyFill="1" applyBorder="1"/>
    <xf numFmtId="177" fontId="5" fillId="19" borderId="1" xfId="46" applyNumberFormat="1" applyFont="1" applyFill="1" applyBorder="1" applyAlignment="1">
      <alignment vertical="center"/>
    </xf>
    <xf numFmtId="0" fontId="17" fillId="0" borderId="0" xfId="0" applyFont="1" applyAlignment="1">
      <alignment vertical="center"/>
    </xf>
    <xf numFmtId="177" fontId="0" fillId="19" borderId="1" xfId="0" applyNumberFormat="1" applyFill="1" applyBorder="1" applyAlignment="1">
      <alignment horizontal="right" vertical="center"/>
    </xf>
    <xf numFmtId="9" fontId="0" fillId="19" borderId="1" xfId="0" applyNumberFormat="1" applyFill="1" applyBorder="1" applyAlignment="1">
      <alignment horizontal="right" vertical="center"/>
    </xf>
    <xf numFmtId="0" fontId="0" fillId="0" borderId="1" xfId="0" applyFill="1" applyBorder="1" applyAlignment="1">
      <alignment vertical="center" wrapText="1"/>
    </xf>
    <xf numFmtId="0" fontId="0" fillId="0" borderId="0" xfId="0" applyAlignment="1">
      <alignment vertical="center" wrapText="1"/>
    </xf>
    <xf numFmtId="173" fontId="0" fillId="19" borderId="1" xfId="45" applyNumberFormat="1" applyFont="1" applyFill="1" applyBorder="1" applyAlignment="1">
      <alignment vertical="center" wrapText="1"/>
    </xf>
    <xf numFmtId="0" fontId="0" fillId="0" borderId="2" xfId="0" applyFill="1" applyBorder="1" applyAlignment="1">
      <alignment vertical="center" wrapText="1"/>
    </xf>
    <xf numFmtId="2" fontId="0" fillId="0" borderId="30" xfId="0" applyNumberFormat="1" applyBorder="1" applyAlignment="1">
      <alignment vertical="center" wrapText="1"/>
    </xf>
    <xf numFmtId="0" fontId="0" fillId="0" borderId="31" xfId="0" applyBorder="1" applyAlignment="1">
      <alignment wrapText="1"/>
    </xf>
    <xf numFmtId="2" fontId="0" fillId="0" borderId="14" xfId="0" applyNumberFormat="1" applyBorder="1" applyAlignment="1">
      <alignment vertical="center" wrapText="1"/>
    </xf>
    <xf numFmtId="0" fontId="0" fillId="0" borderId="15" xfId="0" applyBorder="1" applyAlignment="1">
      <alignment wrapText="1"/>
    </xf>
    <xf numFmtId="9" fontId="4" fillId="0" borderId="1" xfId="46" applyFont="1" applyBorder="1" applyAlignment="1">
      <alignment horizontal="left" vertical="center"/>
    </xf>
    <xf numFmtId="176" fontId="0" fillId="19" borderId="1" xfId="0" applyNumberFormat="1" applyFont="1" applyFill="1" applyBorder="1" applyAlignment="1">
      <alignment vertical="center"/>
    </xf>
    <xf numFmtId="164" fontId="4" fillId="19" borderId="1" xfId="45" applyNumberFormat="1" applyFont="1" applyFill="1" applyBorder="1" applyAlignment="1">
      <alignment vertical="center"/>
    </xf>
    <xf numFmtId="172" fontId="4" fillId="19" borderId="1" xfId="0" applyNumberFormat="1" applyFont="1" applyFill="1" applyBorder="1" applyAlignment="1">
      <alignment horizontal="right" vertical="center"/>
    </xf>
    <xf numFmtId="2" fontId="4" fillId="19" borderId="1" xfId="45" applyNumberFormat="1" applyFont="1" applyFill="1" applyBorder="1" applyAlignment="1">
      <alignment vertical="center"/>
    </xf>
    <xf numFmtId="9" fontId="0" fillId="19" borderId="1" xfId="46" applyFont="1" applyFill="1" applyBorder="1" applyAlignment="1">
      <alignment horizontal="right" vertical="center"/>
    </xf>
    <xf numFmtId="164" fontId="0" fillId="0" borderId="1" xfId="45" applyNumberFormat="1" applyFont="1" applyFill="1" applyBorder="1" applyAlignment="1">
      <alignment horizontal="right" vertical="center"/>
    </xf>
    <xf numFmtId="173" fontId="0" fillId="0" borderId="1" xfId="45" applyNumberFormat="1" applyFont="1" applyFill="1" applyBorder="1" applyAlignment="1">
      <alignment horizontal="right" vertical="center"/>
    </xf>
    <xf numFmtId="0" fontId="0" fillId="0" borderId="1" xfId="0" applyFont="1" applyFill="1" applyBorder="1" applyAlignment="1">
      <alignment vertical="center" wrapText="1"/>
    </xf>
    <xf numFmtId="0" fontId="0" fillId="0" borderId="0" xfId="0" applyFont="1"/>
    <xf numFmtId="173" fontId="0" fillId="18" borderId="1" xfId="45" applyNumberFormat="1" applyFont="1" applyFill="1" applyBorder="1" applyAlignment="1">
      <alignment vertical="center"/>
    </xf>
    <xf numFmtId="9" fontId="0" fillId="0" borderId="0" xfId="46" applyFont="1" applyAlignment="1">
      <alignment vertical="center"/>
    </xf>
    <xf numFmtId="177" fontId="0" fillId="0" borderId="0" xfId="46" applyNumberFormat="1" applyFont="1" applyAlignment="1">
      <alignment vertical="center"/>
    </xf>
    <xf numFmtId="9" fontId="3" fillId="19" borderId="0" xfId="46" applyFont="1" applyFill="1" applyAlignment="1">
      <alignment vertical="center"/>
    </xf>
    <xf numFmtId="164" fontId="0" fillId="0" borderId="0" xfId="45" applyNumberFormat="1" applyFont="1" applyAlignment="1">
      <alignment vertical="center"/>
    </xf>
    <xf numFmtId="9" fontId="0" fillId="0" borderId="1" xfId="46" applyFont="1" applyBorder="1" applyAlignment="1">
      <alignment vertical="center"/>
    </xf>
    <xf numFmtId="1" fontId="0" fillId="0" borderId="0" xfId="0" applyNumberFormat="1" applyAlignment="1">
      <alignment vertical="center" wrapText="1"/>
    </xf>
    <xf numFmtId="1" fontId="0" fillId="0" borderId="0" xfId="0" applyNumberFormat="1" applyAlignment="1">
      <alignment horizontal="center" vertical="center" wrapText="1"/>
    </xf>
    <xf numFmtId="0" fontId="0" fillId="0" borderId="0" xfId="0" applyAlignment="1">
      <alignment horizontal="center" vertical="center"/>
    </xf>
    <xf numFmtId="1" fontId="0" fillId="0" borderId="0" xfId="0" applyNumberFormat="1"/>
    <xf numFmtId="0" fontId="0" fillId="0" borderId="0" xfId="0" applyAlignment="1">
      <alignment horizontal="center"/>
    </xf>
    <xf numFmtId="0" fontId="0" fillId="18" borderId="0" xfId="0" applyFill="1"/>
    <xf numFmtId="0" fontId="0" fillId="18" borderId="0" xfId="0" applyFill="1" applyAlignment="1">
      <alignment horizontal="center"/>
    </xf>
    <xf numFmtId="171" fontId="0" fillId="0" borderId="0" xfId="0" applyNumberFormat="1" applyAlignment="1">
      <alignment horizontal="center"/>
    </xf>
    <xf numFmtId="1" fontId="0" fillId="0" borderId="0" xfId="0" applyNumberFormat="1" applyAlignment="1">
      <alignment horizontal="center"/>
    </xf>
    <xf numFmtId="0" fontId="0" fillId="0" borderId="0" xfId="0" applyAlignment="1">
      <alignment horizontal="left"/>
    </xf>
    <xf numFmtId="9" fontId="5" fillId="19" borderId="0" xfId="46" applyFont="1" applyFill="1" applyAlignment="1">
      <alignment vertical="center"/>
    </xf>
    <xf numFmtId="0" fontId="80" fillId="0" borderId="0" xfId="0" applyFont="1"/>
    <xf numFmtId="176" fontId="4" fillId="3" borderId="1" xfId="45" applyNumberFormat="1" applyFont="1" applyFill="1" applyBorder="1" applyAlignment="1">
      <alignment vertical="center"/>
    </xf>
    <xf numFmtId="174" fontId="17" fillId="19" borderId="1" xfId="45" applyNumberFormat="1" applyFont="1" applyFill="1" applyBorder="1" applyAlignment="1">
      <alignment vertical="center"/>
    </xf>
    <xf numFmtId="0" fontId="17" fillId="0" borderId="1" xfId="0" applyFont="1" applyBorder="1" applyAlignment="1">
      <alignment vertical="center"/>
    </xf>
    <xf numFmtId="178" fontId="4" fillId="0" borderId="1" xfId="45" applyNumberFormat="1" applyFont="1" applyBorder="1" applyAlignment="1">
      <alignment vertical="center"/>
    </xf>
    <xf numFmtId="0" fontId="17" fillId="0" borderId="1" xfId="0" applyFont="1" applyBorder="1" applyAlignment="1">
      <alignment vertical="center" wrapText="1"/>
    </xf>
    <xf numFmtId="173" fontId="17" fillId="18" borderId="1" xfId="45" applyNumberFormat="1" applyFont="1" applyFill="1" applyBorder="1" applyAlignment="1">
      <alignment horizontal="right" vertical="center"/>
    </xf>
    <xf numFmtId="0" fontId="4" fillId="0" borderId="37" xfId="0" applyFont="1" applyFill="1" applyBorder="1" applyAlignment="1">
      <alignment vertical="center"/>
    </xf>
    <xf numFmtId="173" fontId="0" fillId="0" borderId="1" xfId="0" applyNumberFormat="1" applyFill="1" applyBorder="1" applyAlignment="1">
      <alignment vertical="center"/>
    </xf>
    <xf numFmtId="0" fontId="0" fillId="18" borderId="1" xfId="0" applyFill="1" applyBorder="1" applyAlignment="1">
      <alignment vertical="center"/>
    </xf>
    <xf numFmtId="176" fontId="0" fillId="18" borderId="1" xfId="45" applyNumberFormat="1" applyFont="1" applyFill="1" applyBorder="1" applyAlignment="1">
      <alignment vertical="center"/>
    </xf>
    <xf numFmtId="176" fontId="4" fillId="19" borderId="1" xfId="0" applyNumberFormat="1" applyFont="1" applyFill="1" applyBorder="1" applyAlignment="1">
      <alignment vertical="center"/>
    </xf>
    <xf numFmtId="173" fontId="5" fillId="18" borderId="1" xfId="45" applyNumberFormat="1" applyFont="1" applyFill="1" applyBorder="1" applyAlignment="1">
      <alignment vertical="center"/>
    </xf>
    <xf numFmtId="0" fontId="33" fillId="3" borderId="0" xfId="0" applyFont="1" applyFill="1" applyBorder="1" applyProtection="1"/>
    <xf numFmtId="0" fontId="0" fillId="3" borderId="0" xfId="0" applyFill="1" applyBorder="1" applyProtection="1"/>
    <xf numFmtId="0" fontId="7" fillId="3" borderId="0" xfId="0" applyFont="1" applyFill="1" applyBorder="1" applyProtection="1"/>
    <xf numFmtId="0" fontId="0" fillId="3" borderId="9" xfId="0" applyFill="1" applyBorder="1" applyProtection="1"/>
    <xf numFmtId="0" fontId="0" fillId="0" borderId="6" xfId="0" applyBorder="1" applyAlignment="1">
      <alignment horizontal="left" vertical="center"/>
    </xf>
    <xf numFmtId="0" fontId="4" fillId="0" borderId="1" xfId="0" applyFont="1" applyBorder="1" applyAlignment="1">
      <alignment vertical="center" wrapText="1"/>
    </xf>
    <xf numFmtId="0" fontId="0" fillId="0" borderId="37" xfId="0" applyBorder="1" applyAlignment="1">
      <alignment vertical="center"/>
    </xf>
    <xf numFmtId="0" fontId="4" fillId="0" borderId="37" xfId="0" applyFont="1" applyBorder="1" applyAlignment="1">
      <alignment vertical="center"/>
    </xf>
    <xf numFmtId="173" fontId="0" fillId="0" borderId="1" xfId="0" applyNumberFormat="1" applyBorder="1" applyAlignment="1">
      <alignment vertical="center"/>
    </xf>
    <xf numFmtId="0" fontId="17" fillId="0" borderId="37" xfId="0" applyFont="1" applyBorder="1" applyAlignment="1">
      <alignment vertical="center"/>
    </xf>
    <xf numFmtId="0" fontId="0" fillId="0" borderId="1" xfId="0" applyBorder="1" applyAlignment="1">
      <alignment vertical="center" wrapText="1"/>
    </xf>
    <xf numFmtId="164" fontId="4" fillId="0" borderId="1" xfId="45" applyFont="1" applyBorder="1" applyAlignment="1">
      <alignment vertical="center"/>
    </xf>
    <xf numFmtId="164" fontId="17" fillId="19" borderId="1" xfId="45" applyFont="1" applyFill="1" applyBorder="1" applyAlignment="1">
      <alignment vertical="center"/>
    </xf>
    <xf numFmtId="0" fontId="45" fillId="0" borderId="0" xfId="0" applyFont="1" applyAlignment="1" applyProtection="1">
      <alignment horizontal="center" vertical="center"/>
    </xf>
    <xf numFmtId="0" fontId="4" fillId="14" borderId="29" xfId="0" applyFont="1" applyFill="1" applyBorder="1" applyAlignment="1" applyProtection="1">
      <alignment horizontal="center" vertical="center"/>
    </xf>
    <xf numFmtId="176" fontId="0" fillId="19" borderId="0" xfId="0" applyNumberFormat="1" applyFill="1"/>
    <xf numFmtId="0" fontId="22" fillId="3" borderId="0" xfId="0" applyFont="1" applyFill="1" applyProtection="1"/>
    <xf numFmtId="0" fontId="82" fillId="3" borderId="0" xfId="0" applyFont="1" applyFill="1" applyProtection="1"/>
    <xf numFmtId="0" fontId="4" fillId="3" borderId="3" xfId="0" applyFont="1" applyFill="1" applyBorder="1" applyProtection="1">
      <protection locked="0"/>
    </xf>
    <xf numFmtId="0" fontId="83" fillId="3" borderId="9" xfId="0" applyFont="1" applyFill="1" applyBorder="1" applyProtection="1">
      <protection locked="0"/>
    </xf>
    <xf numFmtId="0" fontId="4" fillId="3" borderId="0" xfId="0" applyFont="1" applyFill="1" applyProtection="1">
      <protection locked="0"/>
    </xf>
    <xf numFmtId="0" fontId="4" fillId="3" borderId="0" xfId="0" applyFont="1" applyFill="1" applyBorder="1" applyProtection="1">
      <protection locked="0"/>
    </xf>
    <xf numFmtId="0" fontId="16" fillId="3" borderId="0" xfId="0" applyFont="1" applyFill="1" applyBorder="1" applyAlignment="1" applyProtection="1">
      <alignment vertical="center" wrapText="1"/>
    </xf>
    <xf numFmtId="0" fontId="36" fillId="3" borderId="0" xfId="0" quotePrefix="1" applyFont="1" applyFill="1" applyBorder="1" applyAlignment="1" applyProtection="1">
      <alignment horizontal="center" vertical="center" wrapText="1"/>
    </xf>
    <xf numFmtId="0" fontId="4" fillId="3" borderId="3" xfId="0" applyFont="1" applyFill="1" applyBorder="1" applyAlignment="1" applyProtection="1">
      <alignment horizontal="center"/>
      <protection locked="0"/>
    </xf>
    <xf numFmtId="0" fontId="4" fillId="3" borderId="0" xfId="0" applyFont="1" applyFill="1" applyAlignment="1" applyProtection="1">
      <alignment horizontal="center"/>
      <protection locked="0"/>
    </xf>
    <xf numFmtId="0" fontId="4" fillId="0" borderId="0" xfId="0" applyFont="1" applyProtection="1">
      <protection locked="0"/>
    </xf>
    <xf numFmtId="0" fontId="8" fillId="0" borderId="0" xfId="0" applyFont="1" applyFill="1" applyBorder="1" applyProtection="1">
      <protection locked="0"/>
    </xf>
    <xf numFmtId="167" fontId="31" fillId="0" borderId="0" xfId="44" applyNumberFormat="1" applyFont="1" applyFill="1" applyBorder="1" applyAlignment="1" applyProtection="1">
      <alignment vertical="center"/>
      <protection locked="0"/>
    </xf>
    <xf numFmtId="166" fontId="31" fillId="0" borderId="0" xfId="44" applyFont="1" applyFill="1" applyBorder="1" applyAlignment="1" applyProtection="1">
      <alignment horizontal="left" vertical="center"/>
      <protection locked="0"/>
    </xf>
    <xf numFmtId="0" fontId="8" fillId="0" borderId="0" xfId="0" applyFont="1" applyFill="1" applyBorder="1" applyAlignment="1" applyProtection="1">
      <alignment vertical="top" wrapText="1"/>
      <protection locked="0"/>
    </xf>
    <xf numFmtId="0" fontId="4" fillId="0" borderId="0" xfId="0" applyFont="1" applyAlignment="1" applyProtection="1">
      <alignment horizontal="center"/>
      <protection locked="0"/>
    </xf>
    <xf numFmtId="0" fontId="22" fillId="0" borderId="0" xfId="0" applyFont="1" applyProtection="1"/>
    <xf numFmtId="0" fontId="28" fillId="0" borderId="0" xfId="0" applyFont="1" applyProtection="1"/>
    <xf numFmtId="0" fontId="50" fillId="5" borderId="0" xfId="0" applyFont="1" applyFill="1" applyProtection="1"/>
    <xf numFmtId="0" fontId="84" fillId="0" borderId="0" xfId="0" applyFont="1" applyAlignment="1" applyProtection="1"/>
    <xf numFmtId="0" fontId="85" fillId="0" borderId="0" xfId="0" applyFont="1" applyAlignment="1" applyProtection="1">
      <alignment horizontal="center" vertical="center"/>
    </xf>
    <xf numFmtId="0" fontId="19" fillId="3" borderId="3" xfId="0" applyFont="1" applyFill="1" applyBorder="1" applyProtection="1">
      <protection locked="0"/>
    </xf>
    <xf numFmtId="0" fontId="19" fillId="3" borderId="9" xfId="0" applyFont="1" applyFill="1" applyBorder="1" applyProtection="1">
      <protection locked="0"/>
    </xf>
    <xf numFmtId="0" fontId="19" fillId="3" borderId="0" xfId="0" applyFont="1" applyFill="1" applyProtection="1">
      <protection locked="0"/>
    </xf>
    <xf numFmtId="0" fontId="19" fillId="0" borderId="0" xfId="0" applyFont="1" applyProtection="1">
      <protection locked="0"/>
    </xf>
    <xf numFmtId="176" fontId="4" fillId="0" borderId="0" xfId="45" applyNumberFormat="1" applyFont="1" applyFill="1"/>
    <xf numFmtId="0" fontId="31" fillId="3" borderId="2" xfId="0" applyFont="1" applyFill="1" applyBorder="1" applyAlignment="1" applyProtection="1">
      <alignment horizontal="left" vertical="top" wrapText="1"/>
      <protection locked="0"/>
    </xf>
    <xf numFmtId="0" fontId="31" fillId="3" borderId="6" xfId="0" applyFont="1" applyFill="1" applyBorder="1" applyAlignment="1" applyProtection="1">
      <alignment horizontal="left" vertical="top" wrapText="1"/>
      <protection locked="0"/>
    </xf>
    <xf numFmtId="0" fontId="13" fillId="6" borderId="1" xfId="0" applyFont="1" applyFill="1" applyBorder="1" applyAlignment="1" applyProtection="1">
      <alignment vertical="top" wrapText="1"/>
      <protection locked="0"/>
    </xf>
    <xf numFmtId="0" fontId="15" fillId="3" borderId="6" xfId="0" applyFont="1" applyFill="1" applyBorder="1" applyAlignment="1" applyProtection="1">
      <alignment horizontal="left" vertical="top" wrapText="1"/>
      <protection locked="0"/>
    </xf>
    <xf numFmtId="0" fontId="86" fillId="3" borderId="2" xfId="0" applyFont="1" applyFill="1" applyBorder="1" applyAlignment="1" applyProtection="1">
      <alignment horizontal="left" vertical="top" wrapText="1"/>
      <protection locked="0"/>
    </xf>
    <xf numFmtId="0" fontId="63" fillId="3" borderId="2" xfId="0" applyFont="1" applyFill="1" applyBorder="1" applyAlignment="1" applyProtection="1">
      <alignment horizontal="left" vertical="top" wrapText="1"/>
      <protection locked="0"/>
    </xf>
    <xf numFmtId="0" fontId="86" fillId="3" borderId="7" xfId="0" applyFont="1" applyFill="1" applyBorder="1" applyAlignment="1" applyProtection="1">
      <alignment horizontal="left" vertical="top" wrapText="1"/>
      <protection locked="0"/>
    </xf>
    <xf numFmtId="0" fontId="51" fillId="3" borderId="7" xfId="0" applyFont="1" applyFill="1" applyBorder="1" applyAlignment="1" applyProtection="1">
      <alignment horizontal="left" vertical="top" wrapText="1"/>
      <protection locked="0"/>
    </xf>
    <xf numFmtId="0" fontId="63" fillId="3" borderId="6" xfId="0" applyFont="1" applyFill="1" applyBorder="1" applyAlignment="1" applyProtection="1">
      <alignment horizontal="left" vertical="top" wrapText="1"/>
      <protection locked="0"/>
    </xf>
    <xf numFmtId="0" fontId="13" fillId="3" borderId="1" xfId="0" applyFont="1" applyFill="1" applyBorder="1" applyAlignment="1" applyProtection="1">
      <alignment vertical="top" wrapText="1"/>
      <protection locked="0"/>
    </xf>
    <xf numFmtId="0" fontId="30" fillId="3" borderId="1" xfId="0" applyFont="1" applyFill="1" applyBorder="1" applyAlignment="1" applyProtection="1">
      <alignment vertical="top" wrapText="1"/>
      <protection locked="0"/>
    </xf>
    <xf numFmtId="0" fontId="30" fillId="6" borderId="1" xfId="0" applyFont="1" applyFill="1" applyBorder="1" applyAlignment="1" applyProtection="1">
      <alignment vertical="top" wrapText="1"/>
      <protection locked="0"/>
    </xf>
    <xf numFmtId="0" fontId="73" fillId="30" borderId="44" xfId="0" applyFont="1" applyFill="1" applyBorder="1" applyAlignment="1">
      <alignment vertical="top" wrapText="1"/>
    </xf>
    <xf numFmtId="0" fontId="73" fillId="38" borderId="44" xfId="0" applyFont="1" applyFill="1" applyBorder="1" applyAlignment="1">
      <alignment vertical="top" wrapText="1"/>
    </xf>
    <xf numFmtId="0" fontId="31" fillId="6" borderId="1" xfId="0" applyFont="1" applyFill="1" applyBorder="1" applyAlignment="1" applyProtection="1">
      <alignment horizontal="right" vertical="top" wrapText="1"/>
      <protection locked="0"/>
    </xf>
    <xf numFmtId="0" fontId="29" fillId="3" borderId="0" xfId="0" applyFont="1" applyFill="1" applyProtection="1">
      <protection locked="0"/>
    </xf>
    <xf numFmtId="0" fontId="51" fillId="3" borderId="0" xfId="0" applyFont="1" applyFill="1" applyProtection="1">
      <protection locked="0"/>
    </xf>
    <xf numFmtId="0" fontId="30" fillId="3" borderId="0" xfId="0" applyFont="1" applyFill="1" applyProtection="1">
      <protection locked="0"/>
    </xf>
    <xf numFmtId="0" fontId="13" fillId="3" borderId="0" xfId="0" applyFont="1" applyFill="1" applyProtection="1">
      <protection locked="0"/>
    </xf>
    <xf numFmtId="9" fontId="4" fillId="0" borderId="1" xfId="46" applyFont="1" applyFill="1" applyBorder="1" applyAlignment="1">
      <alignment horizontal="right" vertical="center"/>
    </xf>
    <xf numFmtId="0" fontId="57" fillId="0" borderId="0" xfId="47" applyFont="1"/>
    <xf numFmtId="0" fontId="27" fillId="3" borderId="0" xfId="0" quotePrefix="1" applyFont="1" applyFill="1" applyBorder="1" applyAlignment="1" applyProtection="1">
      <alignment horizontal="left" vertical="top" wrapText="1"/>
    </xf>
    <xf numFmtId="0" fontId="55" fillId="35" borderId="44" xfId="0" applyFont="1" applyFill="1" applyBorder="1" applyAlignment="1">
      <alignment horizontal="center" vertical="center" wrapText="1"/>
    </xf>
    <xf numFmtId="0" fontId="53" fillId="30" borderId="59" xfId="0" quotePrefix="1" applyFont="1" applyFill="1" applyBorder="1"/>
    <xf numFmtId="0" fontId="53" fillId="30" borderId="59" xfId="0" applyFont="1" applyFill="1" applyBorder="1"/>
    <xf numFmtId="0" fontId="53" fillId="30" borderId="31" xfId="0" applyFont="1" applyFill="1" applyBorder="1"/>
    <xf numFmtId="0" fontId="70" fillId="30" borderId="13" xfId="0" applyFont="1" applyFill="1" applyBorder="1"/>
    <xf numFmtId="0" fontId="53" fillId="30" borderId="0" xfId="0" applyFont="1" applyFill="1"/>
    <xf numFmtId="0" fontId="70" fillId="30" borderId="14" xfId="0" applyFont="1" applyFill="1" applyBorder="1"/>
    <xf numFmtId="0" fontId="90" fillId="30" borderId="0" xfId="0" applyFont="1" applyFill="1" applyAlignment="1">
      <alignment horizontal="center"/>
    </xf>
    <xf numFmtId="0" fontId="90" fillId="0" borderId="0" xfId="0" applyFont="1"/>
    <xf numFmtId="0" fontId="0" fillId="3" borderId="0" xfId="0" applyFont="1" applyFill="1" applyProtection="1"/>
    <xf numFmtId="0" fontId="5" fillId="9" borderId="29" xfId="0" applyFont="1" applyFill="1" applyBorder="1" applyAlignment="1" applyProtection="1">
      <alignment horizontal="center" vertical="center" wrapText="1"/>
    </xf>
    <xf numFmtId="0" fontId="4" fillId="14" borderId="29" xfId="0" applyFont="1" applyFill="1" applyBorder="1" applyAlignment="1" applyProtection="1">
      <alignment horizontal="center" vertical="center" wrapText="1"/>
    </xf>
    <xf numFmtId="0" fontId="17" fillId="9" borderId="16" xfId="0" applyFont="1" applyFill="1" applyBorder="1" applyAlignment="1" applyProtection="1">
      <alignment horizontal="center" vertical="center" wrapText="1"/>
    </xf>
    <xf numFmtId="0" fontId="17" fillId="15" borderId="16" xfId="0" applyFont="1" applyFill="1" applyBorder="1" applyAlignment="1" applyProtection="1">
      <alignment vertical="center" wrapText="1"/>
      <protection locked="0"/>
    </xf>
    <xf numFmtId="0" fontId="5" fillId="9" borderId="28"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protection locked="0"/>
    </xf>
    <xf numFmtId="14" fontId="17" fillId="0" borderId="16" xfId="0" applyNumberFormat="1" applyFont="1" applyBorder="1" applyAlignment="1" applyProtection="1">
      <alignment vertical="center" wrapText="1"/>
      <protection locked="0"/>
    </xf>
    <xf numFmtId="173" fontId="17" fillId="0" borderId="36" xfId="45" applyNumberFormat="1" applyFont="1" applyBorder="1" applyAlignment="1" applyProtection="1">
      <alignment vertical="center" wrapText="1"/>
      <protection locked="0"/>
    </xf>
    <xf numFmtId="2" fontId="0" fillId="14" borderId="29" xfId="0" applyNumberFormat="1" applyFont="1" applyFill="1" applyBorder="1" applyAlignment="1" applyProtection="1">
      <alignment horizontal="center" vertical="center" wrapText="1"/>
    </xf>
    <xf numFmtId="1" fontId="0" fillId="26" borderId="29" xfId="45" applyNumberFormat="1" applyFont="1" applyFill="1" applyBorder="1" applyAlignment="1" applyProtection="1">
      <alignment vertical="center" wrapText="1"/>
    </xf>
    <xf numFmtId="173" fontId="17" fillId="0" borderId="16" xfId="45" applyNumberFormat="1" applyFont="1" applyBorder="1" applyAlignment="1" applyProtection="1">
      <alignment vertical="center" wrapText="1"/>
      <protection locked="0"/>
    </xf>
    <xf numFmtId="0" fontId="17" fillId="0" borderId="16" xfId="0" applyNumberFormat="1" applyFont="1" applyBorder="1" applyAlignment="1" applyProtection="1">
      <alignment horizontal="center" vertical="center" wrapText="1"/>
      <protection locked="0"/>
    </xf>
    <xf numFmtId="2" fontId="0" fillId="26" borderId="29" xfId="45" applyNumberFormat="1" applyFont="1" applyFill="1" applyBorder="1" applyAlignment="1" applyProtection="1">
      <alignment vertical="center" wrapText="1"/>
    </xf>
    <xf numFmtId="0" fontId="17" fillId="0" borderId="29" xfId="0" applyNumberFormat="1" applyFont="1" applyBorder="1" applyAlignment="1" applyProtection="1">
      <alignment horizontal="center" vertical="center" wrapText="1"/>
      <protection locked="0"/>
    </xf>
    <xf numFmtId="173" fontId="17" fillId="0" borderId="29" xfId="45" applyNumberFormat="1" applyFont="1" applyBorder="1" applyAlignment="1" applyProtection="1">
      <alignment vertical="center" wrapText="1"/>
      <protection locked="0"/>
    </xf>
    <xf numFmtId="0" fontId="92" fillId="3" borderId="0" xfId="0" applyFont="1" applyFill="1" applyAlignment="1">
      <alignment vertical="center"/>
    </xf>
    <xf numFmtId="0" fontId="93" fillId="3" borderId="0" xfId="0" applyFont="1" applyFill="1" applyAlignment="1">
      <alignment vertical="center"/>
    </xf>
    <xf numFmtId="0" fontId="93" fillId="3" borderId="0" xfId="0" applyFont="1" applyFill="1" applyBorder="1" applyAlignment="1">
      <alignment vertical="center"/>
    </xf>
    <xf numFmtId="0" fontId="2" fillId="3" borderId="0" xfId="0" applyFont="1" applyFill="1" applyBorder="1" applyProtection="1"/>
    <xf numFmtId="0" fontId="18" fillId="3" borderId="0" xfId="0" applyFont="1" applyFill="1" applyBorder="1" applyAlignment="1" applyProtection="1">
      <alignment horizontal="center"/>
    </xf>
    <xf numFmtId="0" fontId="94" fillId="3" borderId="0" xfId="0" applyFont="1" applyFill="1" applyBorder="1" applyProtection="1"/>
    <xf numFmtId="0" fontId="2" fillId="3" borderId="0" xfId="0" quotePrefix="1" applyFont="1" applyFill="1" applyAlignment="1" applyProtection="1">
      <alignment vertical="center"/>
    </xf>
    <xf numFmtId="0" fontId="95" fillId="0" borderId="53" xfId="47" applyFont="1" applyBorder="1"/>
    <xf numFmtId="0" fontId="73" fillId="30" borderId="0" xfId="47" applyFont="1" applyFill="1"/>
    <xf numFmtId="0" fontId="73" fillId="30" borderId="53" xfId="47" applyFont="1" applyFill="1" applyBorder="1"/>
    <xf numFmtId="0" fontId="73" fillId="30" borderId="44" xfId="47" applyFont="1" applyFill="1" applyBorder="1" applyAlignment="1">
      <alignment vertical="top" wrapText="1"/>
    </xf>
    <xf numFmtId="0" fontId="73" fillId="30" borderId="44" xfId="47" applyFont="1" applyFill="1" applyBorder="1"/>
    <xf numFmtId="0" fontId="73" fillId="30" borderId="44" xfId="47" applyFont="1" applyFill="1" applyBorder="1" applyAlignment="1">
      <alignment vertical="center"/>
    </xf>
    <xf numFmtId="0" fontId="73" fillId="0" borderId="44" xfId="47" applyFont="1" applyBorder="1" applyAlignment="1">
      <alignment vertical="center"/>
    </xf>
    <xf numFmtId="0" fontId="76" fillId="30" borderId="44" xfId="0" applyFont="1" applyFill="1" applyBorder="1" applyAlignment="1">
      <alignment vertical="top" wrapText="1"/>
    </xf>
    <xf numFmtId="0" fontId="59" fillId="38" borderId="44" xfId="0" applyFont="1" applyFill="1" applyBorder="1" applyAlignment="1">
      <alignment vertical="top" wrapText="1"/>
    </xf>
    <xf numFmtId="0" fontId="96" fillId="30" borderId="53" xfId="0" applyFont="1" applyFill="1" applyBorder="1" applyAlignment="1">
      <alignment horizontal="left" vertical="top" wrapText="1"/>
    </xf>
    <xf numFmtId="0" fontId="37" fillId="30" borderId="44" xfId="0" applyFont="1" applyFill="1" applyBorder="1" applyAlignment="1">
      <alignment vertical="top" wrapText="1"/>
    </xf>
    <xf numFmtId="0" fontId="37" fillId="38" borderId="44" xfId="0" applyFont="1" applyFill="1" applyBorder="1" applyAlignment="1">
      <alignment vertical="top" wrapText="1"/>
    </xf>
    <xf numFmtId="0" fontId="59" fillId="30" borderId="44" xfId="0" applyFont="1" applyFill="1" applyBorder="1" applyAlignment="1">
      <alignment vertical="top" wrapText="1"/>
    </xf>
    <xf numFmtId="0" fontId="12" fillId="30" borderId="0" xfId="0" applyFont="1" applyFill="1"/>
    <xf numFmtId="176" fontId="55" fillId="30" borderId="44" xfId="0" applyNumberFormat="1" applyFont="1" applyFill="1" applyBorder="1" applyAlignment="1">
      <alignment vertical="center" wrapText="1"/>
    </xf>
    <xf numFmtId="2" fontId="55" fillId="30" borderId="44" xfId="0" applyNumberFormat="1" applyFont="1" applyFill="1" applyBorder="1" applyAlignment="1">
      <alignment vertical="center"/>
    </xf>
    <xf numFmtId="2" fontId="12" fillId="30" borderId="44" xfId="0" applyNumberFormat="1" applyFont="1" applyFill="1" applyBorder="1" applyAlignment="1">
      <alignment vertical="center" wrapText="1"/>
    </xf>
    <xf numFmtId="2" fontId="12" fillId="30" borderId="44" xfId="0" applyNumberFormat="1" applyFont="1" applyFill="1" applyBorder="1" applyAlignment="1">
      <alignment vertical="center"/>
    </xf>
    <xf numFmtId="172" fontId="12" fillId="30" borderId="44" xfId="0" applyNumberFormat="1" applyFont="1" applyFill="1" applyBorder="1" applyAlignment="1">
      <alignment vertical="center"/>
    </xf>
    <xf numFmtId="2" fontId="55" fillId="30" borderId="44" xfId="0" applyNumberFormat="1" applyFont="1" applyFill="1" applyBorder="1" applyAlignment="1">
      <alignment vertical="center" wrapText="1"/>
    </xf>
    <xf numFmtId="2" fontId="12" fillId="0" borderId="44" xfId="0" applyNumberFormat="1" applyFont="1" applyBorder="1" applyAlignment="1">
      <alignment horizontal="left" vertical="center" wrapText="1"/>
    </xf>
    <xf numFmtId="2" fontId="12" fillId="0" borderId="44" xfId="0" applyNumberFormat="1" applyFont="1" applyBorder="1" applyAlignment="1">
      <alignment vertical="center"/>
    </xf>
    <xf numFmtId="0" fontId="89" fillId="32" borderId="44" xfId="47" applyFont="1" applyFill="1" applyBorder="1" applyAlignment="1">
      <alignment horizontal="left" vertical="center" wrapText="1"/>
    </xf>
    <xf numFmtId="0" fontId="56" fillId="30" borderId="0" xfId="47" applyFont="1" applyFill="1" applyAlignment="1">
      <alignment horizontal="left" vertical="center"/>
    </xf>
    <xf numFmtId="0" fontId="56" fillId="30" borderId="50" xfId="47" applyFont="1" applyFill="1" applyBorder="1" applyAlignment="1">
      <alignment horizontal="left"/>
    </xf>
    <xf numFmtId="0" fontId="56" fillId="30" borderId="51" xfId="47" applyFont="1" applyFill="1" applyBorder="1" applyAlignment="1">
      <alignment horizontal="left"/>
    </xf>
    <xf numFmtId="9" fontId="56" fillId="30" borderId="0" xfId="47" applyNumberFormat="1" applyFont="1" applyFill="1" applyAlignment="1">
      <alignment horizontal="left" vertical="center"/>
    </xf>
    <xf numFmtId="0" fontId="56" fillId="30" borderId="0" xfId="47" applyFont="1" applyFill="1" applyAlignment="1">
      <alignment horizontal="left"/>
    </xf>
    <xf numFmtId="0" fontId="89" fillId="31" borderId="0" xfId="47" applyFont="1" applyFill="1" applyAlignment="1">
      <alignment horizontal="left"/>
    </xf>
    <xf numFmtId="0" fontId="56" fillId="0" borderId="0" xfId="47" applyFont="1" applyAlignment="1">
      <alignment horizontal="left"/>
    </xf>
    <xf numFmtId="178" fontId="55" fillId="34" borderId="49" xfId="47" applyNumberFormat="1" applyFont="1" applyFill="1" applyBorder="1" applyAlignment="1">
      <alignment vertical="center"/>
    </xf>
    <xf numFmtId="0" fontId="97" fillId="31" borderId="0" xfId="47" applyFont="1" applyFill="1" applyAlignment="1"/>
    <xf numFmtId="0" fontId="17" fillId="0" borderId="1" xfId="0" applyFont="1" applyFill="1" applyBorder="1" applyAlignment="1">
      <alignment horizontal="right" vertical="center"/>
    </xf>
    <xf numFmtId="0" fontId="17" fillId="0" borderId="1" xfId="0" applyFont="1" applyBorder="1" applyAlignment="1">
      <alignment horizontal="left" vertical="center"/>
    </xf>
    <xf numFmtId="0" fontId="17" fillId="0" borderId="0" xfId="0" applyFont="1"/>
    <xf numFmtId="0" fontId="17" fillId="0" borderId="0" xfId="0" applyFont="1" applyAlignment="1">
      <alignment horizontal="center"/>
    </xf>
    <xf numFmtId="0" fontId="12" fillId="30" borderId="44" xfId="47" applyFont="1" applyFill="1" applyBorder="1" applyAlignment="1" applyProtection="1">
      <alignment vertical="center"/>
      <protection locked="0"/>
    </xf>
    <xf numFmtId="164" fontId="0" fillId="0" borderId="1" xfId="45" applyNumberFormat="1" applyFont="1" applyBorder="1" applyAlignment="1">
      <alignment vertical="center"/>
    </xf>
    <xf numFmtId="2" fontId="0" fillId="0" borderId="1" xfId="0" applyNumberFormat="1" applyFill="1" applyBorder="1" applyAlignment="1">
      <alignment vertical="center"/>
    </xf>
    <xf numFmtId="0" fontId="53" fillId="0" borderId="0" xfId="0" applyFont="1"/>
    <xf numFmtId="0" fontId="64" fillId="31" borderId="0" xfId="0" applyFont="1" applyFill="1"/>
    <xf numFmtId="0" fontId="99" fillId="0" borderId="0" xfId="0" applyFont="1"/>
    <xf numFmtId="0" fontId="78" fillId="0" borderId="0" xfId="0" applyFont="1"/>
    <xf numFmtId="2" fontId="101" fillId="34" borderId="65" xfId="0" applyNumberFormat="1" applyFont="1" applyFill="1" applyBorder="1" applyAlignment="1">
      <alignment horizontal="center" vertical="center" wrapText="1"/>
    </xf>
    <xf numFmtId="0" fontId="12" fillId="30" borderId="50" xfId="0" applyFont="1" applyFill="1" applyBorder="1"/>
    <xf numFmtId="0" fontId="60" fillId="30" borderId="51" xfId="0" applyFont="1" applyFill="1" applyBorder="1"/>
    <xf numFmtId="0" fontId="58" fillId="30" borderId="0" xfId="0" applyFont="1" applyFill="1"/>
    <xf numFmtId="0" fontId="12" fillId="0" borderId="0" xfId="0" applyFont="1"/>
    <xf numFmtId="0" fontId="91" fillId="0" borderId="0" xfId="0" applyFont="1" applyBorder="1" applyAlignment="1">
      <alignment horizontal="center" vertical="center" wrapText="1"/>
    </xf>
    <xf numFmtId="0" fontId="37" fillId="0" borderId="0" xfId="0" applyFont="1" applyBorder="1"/>
    <xf numFmtId="167" fontId="77" fillId="0" borderId="0" xfId="0" applyNumberFormat="1" applyFont="1" applyBorder="1" applyAlignment="1">
      <alignment vertical="center"/>
    </xf>
    <xf numFmtId="166" fontId="77" fillId="0" borderId="0" xfId="0" applyNumberFormat="1" applyFont="1" applyBorder="1" applyAlignment="1">
      <alignment horizontal="left" vertical="center"/>
    </xf>
    <xf numFmtId="0" fontId="12" fillId="33" borderId="69" xfId="0" applyFont="1" applyFill="1" applyBorder="1" applyAlignment="1" applyProtection="1">
      <alignment vertical="center" wrapText="1"/>
      <protection locked="0"/>
    </xf>
    <xf numFmtId="0" fontId="12" fillId="30" borderId="0" xfId="0" applyFont="1" applyFill="1" applyAlignment="1">
      <alignment horizontal="center"/>
    </xf>
    <xf numFmtId="0" fontId="96" fillId="0" borderId="44" xfId="0" applyFont="1" applyBorder="1" applyAlignment="1">
      <alignment horizontal="center" vertical="center" wrapText="1"/>
    </xf>
    <xf numFmtId="0" fontId="59" fillId="0" borderId="44" xfId="0" applyFont="1" applyBorder="1"/>
    <xf numFmtId="0" fontId="59" fillId="0" borderId="44" xfId="0" applyFont="1" applyBorder="1" applyAlignment="1">
      <alignment horizontal="center" vertical="center" wrapText="1"/>
    </xf>
    <xf numFmtId="0" fontId="59" fillId="0" borderId="45" xfId="0" applyFont="1" applyBorder="1" applyAlignment="1">
      <alignment horizontal="center" vertical="center" wrapText="1"/>
    </xf>
    <xf numFmtId="0" fontId="59" fillId="0" borderId="1" xfId="0" applyFont="1" applyBorder="1" applyAlignment="1">
      <alignment horizontal="center" vertical="top" wrapText="1"/>
    </xf>
    <xf numFmtId="0" fontId="102" fillId="2" borderId="29" xfId="0" applyFont="1" applyFill="1" applyBorder="1" applyAlignment="1" applyProtection="1">
      <alignment horizontal="center" vertical="center" wrapText="1"/>
    </xf>
    <xf numFmtId="0" fontId="103" fillId="3" borderId="0" xfId="0" applyFont="1" applyFill="1" applyProtection="1"/>
    <xf numFmtId="0" fontId="104" fillId="5" borderId="0" xfId="0" applyFont="1" applyFill="1" applyAlignment="1" applyProtection="1">
      <alignment vertical="center"/>
    </xf>
    <xf numFmtId="0" fontId="105" fillId="3" borderId="0" xfId="0" applyFont="1" applyFill="1" applyAlignment="1" applyProtection="1">
      <alignment vertical="center"/>
    </xf>
    <xf numFmtId="0" fontId="106" fillId="3" borderId="0" xfId="0" quotePrefix="1" applyFont="1" applyFill="1" applyBorder="1" applyAlignment="1" applyProtection="1">
      <alignment horizontal="center" vertical="center" wrapText="1"/>
    </xf>
    <xf numFmtId="0" fontId="107" fillId="3" borderId="3" xfId="0" applyFont="1" applyFill="1" applyBorder="1" applyAlignment="1" applyProtection="1">
      <alignment horizontal="center"/>
      <protection locked="0"/>
    </xf>
    <xf numFmtId="0" fontId="107" fillId="3" borderId="9" xfId="0" applyFont="1" applyFill="1" applyBorder="1" applyProtection="1">
      <protection locked="0"/>
    </xf>
    <xf numFmtId="0" fontId="107" fillId="3" borderId="0" xfId="0" applyFont="1" applyFill="1" applyProtection="1">
      <protection locked="0"/>
    </xf>
    <xf numFmtId="0" fontId="108" fillId="0" borderId="1" xfId="0" applyFont="1" applyFill="1" applyBorder="1" applyAlignment="1" applyProtection="1">
      <alignment horizontal="center" wrapText="1"/>
      <protection locked="0"/>
    </xf>
    <xf numFmtId="0" fontId="109" fillId="0" borderId="1" xfId="0" applyFont="1" applyFill="1" applyBorder="1" applyProtection="1">
      <protection locked="0"/>
    </xf>
    <xf numFmtId="0" fontId="109" fillId="0" borderId="1" xfId="0" applyFont="1" applyFill="1" applyBorder="1" applyAlignment="1" applyProtection="1">
      <alignment horizontal="left" wrapText="1"/>
      <protection locked="0"/>
    </xf>
    <xf numFmtId="0" fontId="109" fillId="0" borderId="1" xfId="0" applyFont="1" applyFill="1" applyBorder="1" applyAlignment="1" applyProtection="1">
      <alignment wrapText="1"/>
      <protection locked="0"/>
    </xf>
    <xf numFmtId="0" fontId="107" fillId="0" borderId="0" xfId="0" applyFont="1" applyFill="1" applyProtection="1">
      <protection locked="0"/>
    </xf>
    <xf numFmtId="0" fontId="107" fillId="0" borderId="0" xfId="0" applyFont="1" applyProtection="1">
      <protection locked="0"/>
    </xf>
    <xf numFmtId="0" fontId="107" fillId="0" borderId="0" xfId="0" applyFont="1" applyAlignment="1" applyProtection="1">
      <alignment horizontal="center"/>
      <protection locked="0"/>
    </xf>
    <xf numFmtId="0" fontId="54" fillId="31" borderId="0" xfId="0" applyFont="1" applyFill="1" applyAlignment="1">
      <alignment vertical="center"/>
    </xf>
    <xf numFmtId="0" fontId="67" fillId="30" borderId="0" xfId="0" applyFont="1" applyFill="1" applyAlignment="1">
      <alignment vertical="center"/>
    </xf>
    <xf numFmtId="0" fontId="53" fillId="30" borderId="0" xfId="0" applyFont="1" applyFill="1" applyAlignment="1">
      <alignment wrapText="1"/>
    </xf>
    <xf numFmtId="0" fontId="96" fillId="0" borderId="45" xfId="0" applyFont="1" applyBorder="1" applyAlignment="1">
      <alignment horizontal="center" vertical="center" wrapText="1"/>
    </xf>
    <xf numFmtId="0" fontId="59" fillId="0" borderId="52" xfId="0" applyFont="1" applyBorder="1" applyAlignment="1">
      <alignment horizontal="left" vertical="top" wrapText="1"/>
    </xf>
    <xf numFmtId="0" fontId="111" fillId="30" borderId="1" xfId="0" applyFont="1" applyFill="1" applyBorder="1"/>
    <xf numFmtId="0" fontId="12" fillId="0" borderId="0" xfId="0" applyFont="1" applyAlignment="1">
      <alignment horizontal="center"/>
    </xf>
    <xf numFmtId="0" fontId="101" fillId="33" borderId="70" xfId="0" applyFont="1" applyFill="1" applyBorder="1" applyAlignment="1">
      <alignment vertical="center" wrapText="1"/>
    </xf>
    <xf numFmtId="0" fontId="114" fillId="30" borderId="0" xfId="0" applyFont="1" applyFill="1" applyAlignment="1">
      <alignment horizontal="center"/>
    </xf>
    <xf numFmtId="171" fontId="107" fillId="40" borderId="32" xfId="45" applyNumberFormat="1" applyFont="1" applyFill="1" applyBorder="1" applyAlignment="1" applyProtection="1">
      <alignment vertical="center" wrapText="1"/>
    </xf>
    <xf numFmtId="171" fontId="107" fillId="40" borderId="26" xfId="45" applyNumberFormat="1" applyFont="1" applyFill="1" applyBorder="1" applyAlignment="1" applyProtection="1">
      <alignment vertical="center" wrapText="1"/>
    </xf>
    <xf numFmtId="171" fontId="107" fillId="40" borderId="43" xfId="45" applyNumberFormat="1" applyFont="1" applyFill="1" applyBorder="1" applyAlignment="1" applyProtection="1">
      <alignment vertical="center" wrapText="1"/>
    </xf>
    <xf numFmtId="171" fontId="107" fillId="40" borderId="40" xfId="45" applyNumberFormat="1" applyFont="1" applyFill="1" applyBorder="1" applyAlignment="1" applyProtection="1">
      <alignment vertical="center" wrapText="1"/>
    </xf>
    <xf numFmtId="164" fontId="107" fillId="15" borderId="12" xfId="45" applyNumberFormat="1" applyFont="1" applyFill="1" applyBorder="1" applyAlignment="1" applyProtection="1">
      <alignment vertical="center" wrapText="1"/>
      <protection locked="0"/>
    </xf>
    <xf numFmtId="9" fontId="107" fillId="15" borderId="16" xfId="0" applyNumberFormat="1" applyFont="1" applyFill="1" applyBorder="1" applyAlignment="1" applyProtection="1">
      <alignment vertical="center" wrapText="1"/>
      <protection locked="0"/>
    </xf>
    <xf numFmtId="0" fontId="103" fillId="0" borderId="0" xfId="0" applyFont="1" applyProtection="1"/>
    <xf numFmtId="0" fontId="116" fillId="5" borderId="0" xfId="0" applyFont="1" applyFill="1" applyProtection="1"/>
    <xf numFmtId="0" fontId="117" fillId="0" borderId="0" xfId="0" applyFont="1" applyAlignment="1" applyProtection="1"/>
    <xf numFmtId="0" fontId="106" fillId="0" borderId="0" xfId="0" applyFont="1" applyAlignment="1" applyProtection="1">
      <alignment horizontal="center" vertical="center"/>
    </xf>
    <xf numFmtId="0" fontId="102" fillId="14" borderId="4" xfId="0" applyFont="1" applyFill="1" applyBorder="1" applyAlignment="1" applyProtection="1">
      <alignment horizontal="center" vertical="center" wrapText="1"/>
    </xf>
    <xf numFmtId="0" fontId="102" fillId="14" borderId="29" xfId="0" applyFont="1" applyFill="1" applyBorder="1" applyAlignment="1" applyProtection="1">
      <alignment horizontal="center" vertical="center"/>
    </xf>
    <xf numFmtId="175" fontId="107" fillId="14" borderId="30" xfId="0" applyNumberFormat="1" applyFont="1" applyFill="1" applyBorder="1" applyAlignment="1" applyProtection="1">
      <alignment horizontal="center" vertical="center" wrapText="1"/>
    </xf>
    <xf numFmtId="175" fontId="107" fillId="14" borderId="4" xfId="0" applyNumberFormat="1" applyFont="1" applyFill="1" applyBorder="1" applyAlignment="1" applyProtection="1">
      <alignment horizontal="center" vertical="center" wrapText="1"/>
    </xf>
    <xf numFmtId="0" fontId="107" fillId="3" borderId="3" xfId="0" applyFont="1" applyFill="1" applyBorder="1" applyProtection="1">
      <protection locked="0"/>
    </xf>
    <xf numFmtId="0" fontId="102" fillId="14" borderId="29" xfId="0" applyFont="1" applyFill="1" applyBorder="1" applyAlignment="1" applyProtection="1">
      <alignment horizontal="center" vertical="center" wrapText="1"/>
    </xf>
    <xf numFmtId="0" fontId="107" fillId="15" borderId="11" xfId="0" applyFont="1" applyFill="1" applyBorder="1" applyAlignment="1" applyProtection="1">
      <alignment vertical="center" wrapText="1"/>
    </xf>
    <xf numFmtId="171" fontId="107" fillId="14" borderId="29" xfId="0" applyNumberFormat="1" applyFont="1" applyFill="1" applyBorder="1" applyAlignment="1" applyProtection="1">
      <alignment horizontal="center" vertical="center" wrapText="1"/>
    </xf>
    <xf numFmtId="0" fontId="107" fillId="15" borderId="4" xfId="0" applyFont="1" applyFill="1" applyBorder="1" applyAlignment="1" applyProtection="1">
      <alignment vertical="center" wrapText="1"/>
    </xf>
    <xf numFmtId="0" fontId="109" fillId="3" borderId="1" xfId="0" applyFont="1" applyFill="1" applyBorder="1" applyAlignment="1" applyProtection="1">
      <alignment vertical="top" wrapText="1"/>
      <protection locked="0"/>
    </xf>
    <xf numFmtId="2" fontId="109" fillId="6" borderId="1" xfId="0" applyNumberFormat="1" applyFont="1" applyFill="1" applyBorder="1" applyAlignment="1" applyProtection="1">
      <alignment vertical="top" wrapText="1"/>
      <protection locked="0"/>
    </xf>
    <xf numFmtId="0" fontId="113" fillId="0" borderId="0" xfId="0" applyFont="1"/>
    <xf numFmtId="0" fontId="119" fillId="31" borderId="0" xfId="0" applyFont="1" applyFill="1"/>
    <xf numFmtId="0" fontId="120" fillId="0" borderId="0" xfId="0" applyFont="1"/>
    <xf numFmtId="0" fontId="121" fillId="0" borderId="0" xfId="0" applyFont="1"/>
    <xf numFmtId="171" fontId="101" fillId="34" borderId="64" xfId="0" applyNumberFormat="1" applyFont="1" applyFill="1" applyBorder="1" applyAlignment="1">
      <alignment horizontal="center" vertical="center" wrapText="1"/>
    </xf>
    <xf numFmtId="0" fontId="101" fillId="30" borderId="0" xfId="0" applyFont="1" applyFill="1"/>
    <xf numFmtId="0" fontId="101" fillId="0" borderId="0" xfId="0" applyFont="1"/>
    <xf numFmtId="2" fontId="122" fillId="38" borderId="0" xfId="0" applyNumberFormat="1" applyFont="1" applyFill="1" applyAlignment="1">
      <alignment vertical="top" wrapText="1"/>
    </xf>
    <xf numFmtId="164" fontId="101" fillId="42" borderId="69" xfId="0" applyNumberFormat="1" applyFont="1" applyFill="1" applyBorder="1" applyAlignment="1">
      <alignment vertical="center" wrapText="1"/>
    </xf>
    <xf numFmtId="0" fontId="66" fillId="0" borderId="0" xfId="0" applyFont="1"/>
    <xf numFmtId="173" fontId="101" fillId="42" borderId="69" xfId="0" applyNumberFormat="1" applyFont="1" applyFill="1" applyBorder="1" applyAlignment="1">
      <alignment vertical="center" wrapText="1"/>
    </xf>
    <xf numFmtId="0" fontId="74" fillId="30" borderId="0" xfId="0" applyFont="1" applyFill="1"/>
    <xf numFmtId="0" fontId="4" fillId="43" borderId="4" xfId="0" applyFont="1" applyFill="1" applyBorder="1" applyAlignment="1" applyProtection="1"/>
    <xf numFmtId="0" fontId="4" fillId="43" borderId="10" xfId="0" applyFont="1" applyFill="1" applyBorder="1" applyAlignment="1" applyProtection="1"/>
    <xf numFmtId="0" fontId="4" fillId="43" borderId="5" xfId="0" applyFont="1" applyFill="1" applyBorder="1" applyAlignment="1" applyProtection="1"/>
    <xf numFmtId="173" fontId="102" fillId="44" borderId="29" xfId="45" applyNumberFormat="1" applyFont="1" applyFill="1" applyBorder="1" applyAlignment="1" applyProtection="1">
      <alignment vertical="center" wrapText="1"/>
    </xf>
    <xf numFmtId="0" fontId="4" fillId="14" borderId="29" xfId="0" applyFont="1" applyFill="1" applyBorder="1" applyAlignment="1" applyProtection="1">
      <alignment horizontal="center" vertical="center"/>
    </xf>
    <xf numFmtId="0" fontId="5" fillId="9" borderId="28" xfId="0" applyFont="1" applyFill="1" applyBorder="1" applyAlignment="1" applyProtection="1">
      <alignment horizontal="center" vertical="center" wrapText="1"/>
    </xf>
    <xf numFmtId="0" fontId="22" fillId="3" borderId="0" xfId="0" quotePrefix="1" applyFont="1" applyFill="1" applyAlignment="1" applyProtection="1">
      <alignment vertical="center"/>
    </xf>
    <xf numFmtId="0" fontId="72" fillId="30" borderId="30" xfId="0" applyFont="1" applyFill="1" applyBorder="1"/>
    <xf numFmtId="0" fontId="31" fillId="0" borderId="1" xfId="0" applyFont="1" applyFill="1" applyBorder="1" applyAlignment="1" applyProtection="1">
      <alignment horizontal="center" vertical="center" wrapText="1"/>
      <protection locked="0"/>
    </xf>
    <xf numFmtId="0" fontId="86" fillId="3" borderId="1" xfId="0" applyFont="1" applyFill="1" applyBorder="1" applyProtection="1">
      <protection locked="0"/>
    </xf>
    <xf numFmtId="0" fontId="30" fillId="0" borderId="1" xfId="0" applyFont="1" applyBorder="1" applyAlignment="1" applyProtection="1">
      <alignment wrapText="1"/>
      <protection locked="0"/>
    </xf>
    <xf numFmtId="0" fontId="112" fillId="3" borderId="1" xfId="0" applyFont="1" applyFill="1" applyBorder="1" applyAlignment="1">
      <alignment vertical="center"/>
    </xf>
    <xf numFmtId="0" fontId="30" fillId="3" borderId="1" xfId="0" applyFont="1" applyFill="1" applyBorder="1" applyAlignment="1" applyProtection="1">
      <alignment wrapText="1"/>
      <protection locked="0"/>
    </xf>
    <xf numFmtId="0" fontId="62" fillId="0" borderId="52" xfId="0" applyFont="1" applyBorder="1" applyAlignment="1">
      <alignment vertical="top"/>
    </xf>
    <xf numFmtId="0" fontId="62" fillId="30" borderId="1" xfId="0" applyFont="1" applyFill="1" applyBorder="1" applyAlignment="1">
      <alignment vertical="top"/>
    </xf>
    <xf numFmtId="0" fontId="62" fillId="3" borderId="1" xfId="0" applyFont="1" applyFill="1" applyBorder="1" applyAlignment="1">
      <alignment vertical="top"/>
    </xf>
    <xf numFmtId="0" fontId="12" fillId="33" borderId="65" xfId="0" applyFont="1" applyFill="1" applyBorder="1" applyAlignment="1" applyProtection="1">
      <alignment vertical="center" wrapText="1"/>
      <protection locked="0"/>
    </xf>
    <xf numFmtId="0" fontId="101" fillId="33" borderId="16" xfId="0" applyFont="1" applyFill="1" applyBorder="1" applyAlignment="1">
      <alignment vertical="center" wrapText="1"/>
    </xf>
    <xf numFmtId="0" fontId="101" fillId="33" borderId="29" xfId="0" applyFont="1" applyFill="1" applyBorder="1" applyAlignment="1">
      <alignment vertical="center" wrapText="1"/>
    </xf>
    <xf numFmtId="173" fontId="107" fillId="0" borderId="36" xfId="45" applyNumberFormat="1" applyFont="1" applyBorder="1" applyAlignment="1" applyProtection="1">
      <alignment vertical="center" wrapText="1"/>
      <protection locked="0"/>
    </xf>
    <xf numFmtId="173" fontId="107" fillId="0" borderId="16" xfId="45" applyNumberFormat="1" applyFont="1" applyBorder="1" applyAlignment="1" applyProtection="1">
      <alignment vertical="center" wrapText="1"/>
      <protection locked="0"/>
    </xf>
    <xf numFmtId="173" fontId="107" fillId="0" borderId="29" xfId="45" applyNumberFormat="1" applyFont="1" applyBorder="1" applyAlignment="1" applyProtection="1">
      <alignment vertical="center" wrapText="1"/>
      <protection locked="0"/>
    </xf>
    <xf numFmtId="164" fontId="107" fillId="9" borderId="11" xfId="45" applyNumberFormat="1" applyFont="1" applyFill="1" applyBorder="1" applyAlignment="1" applyProtection="1">
      <alignment vertical="center" wrapText="1"/>
      <protection locked="0"/>
    </xf>
    <xf numFmtId="0" fontId="103" fillId="0" borderId="0" xfId="0" applyFont="1" applyAlignment="1" applyProtection="1">
      <alignment wrapText="1"/>
    </xf>
    <xf numFmtId="164" fontId="103" fillId="3" borderId="0" xfId="0" applyNumberFormat="1" applyFont="1" applyFill="1" applyProtection="1"/>
    <xf numFmtId="0" fontId="104" fillId="5" borderId="0" xfId="0" applyFont="1" applyFill="1" applyAlignment="1" applyProtection="1">
      <alignment vertical="center" wrapText="1"/>
    </xf>
    <xf numFmtId="164" fontId="116" fillId="5" borderId="0" xfId="0" applyNumberFormat="1" applyFont="1" applyFill="1" applyProtection="1"/>
    <xf numFmtId="0" fontId="117" fillId="3" borderId="0" xfId="0" applyFont="1" applyFill="1" applyProtection="1"/>
    <xf numFmtId="0" fontId="117" fillId="0" borderId="0" xfId="0" applyFont="1" applyAlignment="1" applyProtection="1">
      <alignment wrapText="1"/>
    </xf>
    <xf numFmtId="0" fontId="117" fillId="0" borderId="0" xfId="0" applyFont="1" applyProtection="1"/>
    <xf numFmtId="164" fontId="117" fillId="3" borderId="0" xfId="0" applyNumberFormat="1" applyFont="1" applyFill="1" applyProtection="1"/>
    <xf numFmtId="0" fontId="106" fillId="3" borderId="0" xfId="0" applyFont="1" applyFill="1" applyAlignment="1" applyProtection="1">
      <alignment horizontal="center" vertical="center"/>
    </xf>
    <xf numFmtId="0" fontId="106" fillId="0" borderId="0" xfId="0" applyFont="1" applyAlignment="1" applyProtection="1">
      <alignment horizontal="center" vertical="center" wrapText="1"/>
    </xf>
    <xf numFmtId="164" fontId="106" fillId="3" borderId="0" xfId="0" applyNumberFormat="1" applyFont="1" applyFill="1" applyAlignment="1" applyProtection="1">
      <alignment horizontal="center" vertical="center"/>
    </xf>
    <xf numFmtId="0" fontId="107" fillId="0" borderId="0" xfId="0" applyFont="1" applyProtection="1"/>
    <xf numFmtId="0" fontId="102" fillId="27" borderId="10" xfId="0" applyFont="1" applyFill="1" applyBorder="1" applyAlignment="1" applyProtection="1">
      <alignment horizontal="center" vertical="center" wrapText="1"/>
    </xf>
    <xf numFmtId="0" fontId="102" fillId="10" borderId="29" xfId="0" applyFont="1" applyFill="1" applyBorder="1" applyAlignment="1" applyProtection="1">
      <alignment horizontal="center" vertical="center" wrapText="1"/>
    </xf>
    <xf numFmtId="0" fontId="102" fillId="29" borderId="29" xfId="0" applyFont="1" applyFill="1" applyBorder="1" applyAlignment="1" applyProtection="1">
      <alignment horizontal="center" vertical="center" wrapText="1"/>
    </xf>
    <xf numFmtId="0" fontId="102" fillId="4" borderId="29" xfId="0" applyFont="1" applyFill="1" applyBorder="1" applyAlignment="1" applyProtection="1">
      <alignment horizontal="center" vertical="center" wrapText="1"/>
    </xf>
    <xf numFmtId="0" fontId="102" fillId="25" borderId="29" xfId="0" applyFont="1" applyFill="1" applyBorder="1" applyAlignment="1" applyProtection="1">
      <alignment horizontal="center" vertical="center" wrapText="1"/>
    </xf>
    <xf numFmtId="0" fontId="102" fillId="12" borderId="14" xfId="0" applyFont="1" applyFill="1" applyBorder="1" applyAlignment="1" applyProtection="1">
      <alignment horizontal="center" vertical="center" wrapText="1"/>
    </xf>
    <xf numFmtId="0" fontId="102" fillId="12" borderId="23" xfId="0" applyFont="1" applyFill="1" applyBorder="1" applyAlignment="1" applyProtection="1">
      <alignment horizontal="center" vertical="center" wrapText="1"/>
    </xf>
    <xf numFmtId="0" fontId="102" fillId="12" borderId="19" xfId="0" applyFont="1" applyFill="1" applyBorder="1" applyAlignment="1" applyProtection="1">
      <alignment horizontal="center" vertical="center" wrapText="1"/>
    </xf>
    <xf numFmtId="0" fontId="102" fillId="12" borderId="20" xfId="0" applyFont="1" applyFill="1" applyBorder="1" applyAlignment="1" applyProtection="1">
      <alignment horizontal="center" vertical="center" wrapText="1"/>
    </xf>
    <xf numFmtId="0" fontId="102" fillId="12" borderId="21" xfId="0" applyFont="1" applyFill="1" applyBorder="1" applyAlignment="1" applyProtection="1">
      <alignment horizontal="center" vertical="center" wrapText="1"/>
    </xf>
    <xf numFmtId="0" fontId="102" fillId="28" borderId="14" xfId="0" applyFont="1" applyFill="1" applyBorder="1" applyAlignment="1" applyProtection="1">
      <alignment horizontal="center" vertical="center" wrapText="1"/>
    </xf>
    <xf numFmtId="0" fontId="102" fillId="28" borderId="23" xfId="0" applyFont="1" applyFill="1" applyBorder="1" applyAlignment="1" applyProtection="1">
      <alignment horizontal="center" vertical="center" wrapText="1"/>
    </xf>
    <xf numFmtId="0" fontId="102" fillId="28" borderId="19" xfId="0" applyFont="1" applyFill="1" applyBorder="1" applyAlignment="1" applyProtection="1">
      <alignment horizontal="center" vertical="center" wrapText="1"/>
    </xf>
    <xf numFmtId="0" fontId="102" fillId="28" borderId="20" xfId="0" applyFont="1" applyFill="1" applyBorder="1" applyAlignment="1" applyProtection="1">
      <alignment horizontal="center" vertical="center" wrapText="1"/>
    </xf>
    <xf numFmtId="0" fontId="102" fillId="28" borderId="21" xfId="0" applyFont="1" applyFill="1" applyBorder="1" applyAlignment="1" applyProtection="1">
      <alignment horizontal="center" vertical="center" wrapText="1"/>
    </xf>
    <xf numFmtId="0" fontId="102" fillId="7" borderId="38" xfId="0" applyFont="1" applyFill="1" applyBorder="1" applyAlignment="1" applyProtection="1">
      <alignment horizontal="center" vertical="center" wrapText="1"/>
    </xf>
    <xf numFmtId="0" fontId="102" fillId="7" borderId="23" xfId="0" applyFont="1" applyFill="1" applyBorder="1" applyAlignment="1" applyProtection="1">
      <alignment horizontal="center" vertical="center" wrapText="1"/>
    </xf>
    <xf numFmtId="0" fontId="102" fillId="7" borderId="19" xfId="0" applyFont="1" applyFill="1" applyBorder="1" applyAlignment="1" applyProtection="1">
      <alignment horizontal="center" vertical="center" wrapText="1"/>
    </xf>
    <xf numFmtId="0" fontId="102" fillId="7" borderId="20" xfId="0" applyFont="1" applyFill="1" applyBorder="1" applyAlignment="1" applyProtection="1">
      <alignment horizontal="center" vertical="center" wrapText="1"/>
    </xf>
    <xf numFmtId="0" fontId="102" fillId="7" borderId="33" xfId="0" applyFont="1" applyFill="1" applyBorder="1" applyAlignment="1" applyProtection="1">
      <alignment horizontal="center" vertical="center" wrapText="1"/>
    </xf>
    <xf numFmtId="0" fontId="102" fillId="7" borderId="29" xfId="0" applyFont="1" applyFill="1" applyBorder="1" applyAlignment="1" applyProtection="1">
      <alignment horizontal="center" vertical="center" wrapText="1"/>
    </xf>
    <xf numFmtId="0" fontId="102" fillId="24" borderId="20" xfId="0" applyFont="1" applyFill="1" applyBorder="1" applyAlignment="1" applyProtection="1">
      <alignment horizontal="center" vertical="center" wrapText="1"/>
    </xf>
    <xf numFmtId="0" fontId="102" fillId="24" borderId="23" xfId="0" applyFont="1" applyFill="1" applyBorder="1" applyAlignment="1" applyProtection="1">
      <alignment horizontal="center" vertical="center" wrapText="1"/>
    </xf>
    <xf numFmtId="0" fontId="102" fillId="24" borderId="19" xfId="0" applyFont="1" applyFill="1" applyBorder="1" applyAlignment="1" applyProtection="1">
      <alignment horizontal="center" vertical="center" wrapText="1"/>
    </xf>
    <xf numFmtId="0" fontId="102" fillId="24" borderId="21" xfId="0" applyFont="1" applyFill="1" applyBorder="1" applyAlignment="1" applyProtection="1">
      <alignment horizontal="center" vertical="center" wrapText="1"/>
    </xf>
    <xf numFmtId="0" fontId="102" fillId="24" borderId="29" xfId="0" applyFont="1" applyFill="1" applyBorder="1" applyAlignment="1" applyProtection="1">
      <alignment horizontal="center" vertical="center" wrapText="1"/>
    </xf>
    <xf numFmtId="3" fontId="107" fillId="12" borderId="25" xfId="0" applyNumberFormat="1" applyFont="1" applyFill="1" applyBorder="1" applyAlignment="1" applyProtection="1">
      <alignment horizontal="center" vertical="center" wrapText="1"/>
      <protection locked="0"/>
    </xf>
    <xf numFmtId="4" fontId="107" fillId="12" borderId="25" xfId="0" applyNumberFormat="1" applyFont="1" applyFill="1" applyBorder="1" applyAlignment="1" applyProtection="1">
      <alignment horizontal="center" vertical="center" wrapText="1"/>
      <protection locked="0"/>
    </xf>
    <xf numFmtId="3" fontId="107" fillId="12" borderId="25" xfId="0" applyNumberFormat="1" applyFont="1" applyFill="1" applyBorder="1" applyAlignment="1" applyProtection="1">
      <alignment horizontal="center" vertical="center"/>
      <protection locked="0"/>
    </xf>
    <xf numFmtId="171" fontId="107" fillId="12" borderId="25" xfId="45" applyNumberFormat="1" applyFont="1" applyFill="1" applyBorder="1" applyAlignment="1" applyProtection="1">
      <alignment vertical="center" wrapText="1"/>
      <protection locked="0"/>
    </xf>
    <xf numFmtId="173" fontId="107" fillId="12" borderId="25" xfId="45" applyNumberFormat="1" applyFont="1" applyFill="1" applyBorder="1" applyAlignment="1" applyProtection="1">
      <alignment vertical="center" wrapText="1"/>
      <protection locked="0"/>
    </xf>
    <xf numFmtId="171" fontId="107" fillId="12" borderId="25" xfId="0" applyNumberFormat="1" applyFont="1" applyFill="1" applyBorder="1" applyAlignment="1" applyProtection="1">
      <alignment vertical="center" wrapText="1"/>
      <protection locked="0"/>
    </xf>
    <xf numFmtId="0" fontId="107" fillId="22" borderId="11" xfId="0" applyFont="1" applyFill="1" applyBorder="1" applyAlignment="1" applyProtection="1">
      <alignment vertical="center" wrapText="1"/>
      <protection locked="0"/>
    </xf>
    <xf numFmtId="174" fontId="107" fillId="16" borderId="11" xfId="45" applyNumberFormat="1" applyFont="1" applyFill="1" applyBorder="1" applyAlignment="1" applyProtection="1">
      <alignment vertical="center" wrapText="1"/>
      <protection locked="0"/>
    </xf>
    <xf numFmtId="0" fontId="107" fillId="28" borderId="25" xfId="0" applyFont="1" applyFill="1" applyBorder="1" applyAlignment="1" applyProtection="1">
      <alignment vertical="center" wrapText="1"/>
      <protection locked="0"/>
    </xf>
    <xf numFmtId="3" fontId="107" fillId="16" borderId="11" xfId="0" applyNumberFormat="1" applyFont="1" applyFill="1" applyBorder="1" applyAlignment="1" applyProtection="1">
      <alignment vertical="center" wrapText="1"/>
      <protection locked="0"/>
    </xf>
    <xf numFmtId="3" fontId="107" fillId="28" borderId="26" xfId="0" applyNumberFormat="1" applyFont="1" applyFill="1" applyBorder="1" applyAlignment="1" applyProtection="1">
      <alignment vertical="center" wrapText="1"/>
      <protection locked="0"/>
    </xf>
    <xf numFmtId="3" fontId="107" fillId="28" borderId="25" xfId="0" applyNumberFormat="1" applyFont="1" applyFill="1" applyBorder="1" applyAlignment="1" applyProtection="1">
      <alignment vertical="center" wrapText="1"/>
      <protection locked="0"/>
    </xf>
    <xf numFmtId="0" fontId="107" fillId="7" borderId="11" xfId="0" applyFont="1" applyFill="1" applyBorder="1" applyAlignment="1" applyProtection="1">
      <alignment horizontal="center" vertical="center" wrapText="1"/>
      <protection locked="0"/>
    </xf>
    <xf numFmtId="171" fontId="107" fillId="7" borderId="26" xfId="45" applyNumberFormat="1" applyFont="1" applyFill="1" applyBorder="1" applyAlignment="1" applyProtection="1">
      <alignment vertical="center"/>
      <protection locked="0"/>
    </xf>
    <xf numFmtId="171" fontId="107" fillId="7" borderId="26" xfId="45" applyNumberFormat="1" applyFont="1" applyFill="1" applyBorder="1" applyAlignment="1" applyProtection="1">
      <alignment vertical="center" wrapText="1"/>
      <protection locked="0"/>
    </xf>
    <xf numFmtId="171" fontId="107" fillId="7" borderId="34" xfId="45" applyNumberFormat="1" applyFont="1" applyFill="1" applyBorder="1" applyAlignment="1" applyProtection="1">
      <alignment vertical="center" wrapText="1"/>
      <protection locked="0"/>
    </xf>
    <xf numFmtId="0" fontId="107" fillId="16" borderId="12" xfId="0" applyFont="1" applyFill="1" applyBorder="1" applyAlignment="1" applyProtection="1">
      <alignment vertical="center" wrapText="1"/>
      <protection locked="0"/>
    </xf>
    <xf numFmtId="0" fontId="107" fillId="24" borderId="11" xfId="0" applyFont="1" applyFill="1" applyBorder="1" applyAlignment="1" applyProtection="1">
      <alignment horizontal="center" vertical="center" wrapText="1"/>
      <protection locked="0"/>
    </xf>
    <xf numFmtId="173" fontId="107" fillId="16" borderId="11" xfId="45" applyNumberFormat="1" applyFont="1" applyFill="1" applyBorder="1" applyAlignment="1" applyProtection="1">
      <alignment vertical="center" wrapText="1"/>
      <protection locked="0"/>
    </xf>
    <xf numFmtId="164" fontId="107" fillId="24" borderId="26" xfId="45" applyFont="1" applyFill="1" applyBorder="1" applyAlignment="1" applyProtection="1">
      <alignment vertical="center" wrapText="1"/>
      <protection locked="0"/>
    </xf>
    <xf numFmtId="173" fontId="107" fillId="24" borderId="25" xfId="45" applyNumberFormat="1" applyFont="1" applyFill="1" applyBorder="1" applyAlignment="1" applyProtection="1">
      <alignment vertical="center" wrapText="1"/>
      <protection locked="0"/>
    </xf>
    <xf numFmtId="164" fontId="107" fillId="24" borderId="34" xfId="45" applyNumberFormat="1" applyFont="1" applyFill="1" applyBorder="1" applyAlignment="1" applyProtection="1">
      <alignment vertical="center" wrapText="1"/>
      <protection locked="0"/>
    </xf>
    <xf numFmtId="0" fontId="107" fillId="22" borderId="4" xfId="0" applyFont="1" applyFill="1" applyBorder="1" applyAlignment="1" applyProtection="1">
      <alignment vertical="center" wrapText="1"/>
      <protection locked="0"/>
    </xf>
    <xf numFmtId="174" fontId="107" fillId="16" borderId="4" xfId="45" applyNumberFormat="1" applyFont="1" applyFill="1" applyBorder="1" applyAlignment="1" applyProtection="1">
      <alignment vertical="center" wrapText="1"/>
      <protection locked="0"/>
    </xf>
    <xf numFmtId="0" fontId="107" fillId="28" borderId="23" xfId="0" applyFont="1" applyFill="1" applyBorder="1" applyAlignment="1" applyProtection="1">
      <alignment vertical="center" wrapText="1"/>
      <protection locked="0"/>
    </xf>
    <xf numFmtId="3" fontId="107" fillId="16" borderId="4" xfId="0" applyNumberFormat="1" applyFont="1" applyFill="1" applyBorder="1" applyAlignment="1" applyProtection="1">
      <alignment vertical="center" wrapText="1"/>
      <protection locked="0"/>
    </xf>
    <xf numFmtId="3" fontId="107" fillId="28" borderId="40" xfId="0" applyNumberFormat="1" applyFont="1" applyFill="1" applyBorder="1" applyAlignment="1" applyProtection="1">
      <alignment vertical="center" wrapText="1"/>
      <protection locked="0"/>
    </xf>
    <xf numFmtId="3" fontId="107" fillId="28" borderId="23" xfId="0" applyNumberFormat="1" applyFont="1" applyFill="1" applyBorder="1" applyAlignment="1" applyProtection="1">
      <alignment vertical="center" wrapText="1"/>
      <protection locked="0"/>
    </xf>
    <xf numFmtId="171" fontId="107" fillId="7" borderId="42" xfId="45" applyNumberFormat="1" applyFont="1" applyFill="1" applyBorder="1" applyAlignment="1" applyProtection="1">
      <alignment vertical="center" wrapText="1"/>
      <protection locked="0"/>
    </xf>
    <xf numFmtId="0" fontId="107" fillId="16" borderId="41" xfId="0" applyFont="1" applyFill="1" applyBorder="1" applyAlignment="1" applyProtection="1">
      <alignment vertical="center" wrapText="1"/>
      <protection locked="0"/>
    </xf>
    <xf numFmtId="0" fontId="107" fillId="24" borderId="4" xfId="0" applyFont="1" applyFill="1" applyBorder="1" applyAlignment="1" applyProtection="1">
      <alignment horizontal="center" vertical="center" wrapText="1"/>
      <protection locked="0"/>
    </xf>
    <xf numFmtId="173" fontId="107" fillId="16" borderId="4" xfId="45" applyNumberFormat="1" applyFont="1" applyFill="1" applyBorder="1" applyAlignment="1" applyProtection="1">
      <alignment vertical="center" wrapText="1"/>
      <protection locked="0"/>
    </xf>
    <xf numFmtId="164" fontId="107" fillId="24" borderId="40" xfId="45" applyFont="1" applyFill="1" applyBorder="1" applyAlignment="1" applyProtection="1">
      <alignment vertical="center" wrapText="1"/>
      <protection locked="0"/>
    </xf>
    <xf numFmtId="173" fontId="107" fillId="24" borderId="23" xfId="45" applyNumberFormat="1" applyFont="1" applyFill="1" applyBorder="1" applyAlignment="1" applyProtection="1">
      <alignment vertical="center" wrapText="1"/>
      <protection locked="0"/>
    </xf>
    <xf numFmtId="164" fontId="107" fillId="24" borderId="42" xfId="45" applyNumberFormat="1" applyFont="1" applyFill="1" applyBorder="1" applyAlignment="1" applyProtection="1">
      <alignment vertical="center" wrapText="1"/>
      <protection locked="0"/>
    </xf>
    <xf numFmtId="0" fontId="109" fillId="3" borderId="3" xfId="0" applyFont="1" applyFill="1" applyBorder="1" applyAlignment="1" applyProtection="1">
      <alignment wrapText="1"/>
      <protection locked="0"/>
    </xf>
    <xf numFmtId="0" fontId="109" fillId="3" borderId="3" xfId="0" applyFont="1" applyFill="1" applyBorder="1" applyProtection="1">
      <protection locked="0"/>
    </xf>
    <xf numFmtId="164" fontId="107" fillId="3" borderId="3" xfId="0" applyNumberFormat="1" applyFont="1" applyFill="1" applyBorder="1" applyProtection="1">
      <protection locked="0"/>
    </xf>
    <xf numFmtId="0" fontId="107" fillId="3" borderId="9" xfId="0" applyFont="1" applyFill="1" applyBorder="1" applyAlignment="1" applyProtection="1">
      <alignment wrapText="1"/>
      <protection locked="0"/>
    </xf>
    <xf numFmtId="164" fontId="107" fillId="3" borderId="9" xfId="0" applyNumberFormat="1" applyFont="1" applyFill="1" applyBorder="1" applyProtection="1">
      <protection locked="0"/>
    </xf>
    <xf numFmtId="0" fontId="109" fillId="3" borderId="0" xfId="0" applyFont="1" applyFill="1" applyBorder="1" applyProtection="1">
      <protection locked="0"/>
    </xf>
    <xf numFmtId="0" fontId="109" fillId="3" borderId="0" xfId="0" applyFont="1" applyFill="1" applyBorder="1" applyAlignment="1" applyProtection="1">
      <alignment wrapText="1"/>
      <protection locked="0"/>
    </xf>
    <xf numFmtId="164" fontId="107" fillId="3" borderId="0" xfId="0" applyNumberFormat="1" applyFont="1" applyFill="1" applyProtection="1">
      <protection locked="0"/>
    </xf>
    <xf numFmtId="166" fontId="125" fillId="0" borderId="37" xfId="44" applyFont="1" applyFill="1" applyBorder="1" applyAlignment="1" applyProtection="1">
      <alignment horizontal="center" vertical="center"/>
      <protection locked="0"/>
    </xf>
    <xf numFmtId="166" fontId="125" fillId="0" borderId="37" xfId="44" applyFont="1" applyFill="1" applyBorder="1" applyAlignment="1" applyProtection="1">
      <alignment horizontal="left" vertical="center"/>
      <protection locked="0"/>
    </xf>
    <xf numFmtId="0" fontId="107" fillId="3" borderId="0" xfId="0" applyFont="1" applyFill="1" applyBorder="1" applyProtection="1">
      <protection locked="0"/>
    </xf>
    <xf numFmtId="0" fontId="107" fillId="3" borderId="0" xfId="0" applyFont="1" applyFill="1" applyBorder="1" applyAlignment="1" applyProtection="1">
      <alignment wrapText="1"/>
      <protection locked="0"/>
    </xf>
    <xf numFmtId="166" fontId="125" fillId="0" borderId="1" xfId="44" applyFont="1" applyFill="1" applyBorder="1" applyAlignment="1" applyProtection="1">
      <alignment horizontal="center" vertical="center" wrapText="1"/>
      <protection locked="0"/>
    </xf>
    <xf numFmtId="0" fontId="108" fillId="0" borderId="1" xfId="0" applyFont="1" applyFill="1" applyBorder="1" applyAlignment="1" applyProtection="1">
      <alignment horizontal="center" vertical="center" wrapText="1"/>
      <protection locked="0"/>
    </xf>
    <xf numFmtId="0" fontId="107" fillId="16" borderId="0" xfId="0" applyFont="1" applyFill="1" applyProtection="1">
      <protection locked="0"/>
    </xf>
    <xf numFmtId="0" fontId="107" fillId="16" borderId="6" xfId="0" applyFont="1" applyFill="1" applyBorder="1" applyProtection="1">
      <protection locked="0"/>
    </xf>
    <xf numFmtId="0" fontId="107" fillId="3" borderId="1" xfId="0" applyFont="1" applyFill="1" applyBorder="1" applyProtection="1">
      <protection locked="0"/>
    </xf>
    <xf numFmtId="166" fontId="110" fillId="0" borderId="1" xfId="44" applyFont="1" applyFill="1" applyBorder="1" applyAlignment="1" applyProtection="1">
      <alignment horizontal="center" vertical="center"/>
      <protection locked="0"/>
    </xf>
    <xf numFmtId="11" fontId="110" fillId="0" borderId="1" xfId="44" applyNumberFormat="1" applyFont="1" applyFill="1" applyBorder="1" applyAlignment="1" applyProtection="1">
      <alignment horizontal="center" vertical="center"/>
      <protection locked="0"/>
    </xf>
    <xf numFmtId="11" fontId="110" fillId="0" borderId="1" xfId="45" applyNumberFormat="1" applyFont="1" applyFill="1" applyBorder="1" applyAlignment="1" applyProtection="1">
      <alignment vertical="center"/>
      <protection locked="0"/>
    </xf>
    <xf numFmtId="0" fontId="110" fillId="0" borderId="1" xfId="0" applyFont="1" applyBorder="1" applyAlignment="1" applyProtection="1">
      <alignment wrapText="1"/>
      <protection locked="0"/>
    </xf>
    <xf numFmtId="2" fontId="107" fillId="3" borderId="0" xfId="0" applyNumberFormat="1" applyFont="1" applyFill="1" applyBorder="1" applyProtection="1">
      <protection locked="0"/>
    </xf>
    <xf numFmtId="11" fontId="107" fillId="3" borderId="0" xfId="0" applyNumberFormat="1" applyFont="1" applyFill="1" applyBorder="1" applyProtection="1">
      <protection locked="0"/>
    </xf>
    <xf numFmtId="0" fontId="109" fillId="3" borderId="0" xfId="0" applyFont="1" applyFill="1" applyProtection="1">
      <protection locked="0"/>
    </xf>
    <xf numFmtId="0" fontId="126" fillId="3" borderId="1" xfId="0" applyFont="1" applyFill="1" applyBorder="1" applyAlignment="1">
      <alignment vertical="center"/>
    </xf>
    <xf numFmtId="0" fontId="107" fillId="0" borderId="0" xfId="0" applyFont="1" applyBorder="1" applyAlignment="1" applyProtection="1">
      <alignment vertical="center"/>
      <protection locked="0"/>
    </xf>
    <xf numFmtId="0" fontId="107" fillId="0" borderId="0" xfId="0" applyFont="1" applyBorder="1" applyProtection="1">
      <protection locked="0"/>
    </xf>
    <xf numFmtId="0" fontId="110" fillId="3" borderId="1" xfId="0" applyFont="1" applyFill="1" applyBorder="1" applyAlignment="1" applyProtection="1">
      <alignment wrapText="1"/>
      <protection locked="0"/>
    </xf>
    <xf numFmtId="11" fontId="107" fillId="3" borderId="0" xfId="45" applyNumberFormat="1" applyFont="1" applyFill="1" applyBorder="1" applyProtection="1">
      <protection locked="0"/>
    </xf>
    <xf numFmtId="0" fontId="107" fillId="3" borderId="0" xfId="0" applyFont="1" applyFill="1" applyAlignment="1" applyProtection="1">
      <alignment wrapText="1"/>
      <protection locked="0"/>
    </xf>
    <xf numFmtId="0" fontId="110" fillId="3" borderId="0" xfId="0" applyFont="1" applyFill="1" applyBorder="1" applyProtection="1">
      <protection locked="0"/>
    </xf>
    <xf numFmtId="176" fontId="4" fillId="0" borderId="1" xfId="45" applyNumberFormat="1" applyFont="1" applyFill="1" applyBorder="1" applyAlignment="1">
      <alignment vertical="center"/>
    </xf>
    <xf numFmtId="0" fontId="28" fillId="3" borderId="0" xfId="0" applyFont="1" applyFill="1" applyProtection="1"/>
    <xf numFmtId="0" fontId="91" fillId="0" borderId="53" xfId="0" applyFont="1" applyBorder="1" applyAlignment="1">
      <alignment horizontal="center" vertical="center" wrapText="1"/>
    </xf>
    <xf numFmtId="0" fontId="37" fillId="0" borderId="53" xfId="0" applyFont="1" applyBorder="1"/>
    <xf numFmtId="167" fontId="77" fillId="0" borderId="53" xfId="0" applyNumberFormat="1" applyFont="1" applyBorder="1" applyAlignment="1">
      <alignment vertical="center"/>
    </xf>
    <xf numFmtId="166" fontId="77" fillId="0" borderId="53" xfId="0" applyNumberFormat="1" applyFont="1" applyBorder="1" applyAlignment="1">
      <alignment horizontal="left" vertical="center"/>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vertical="top" wrapText="1"/>
      <protection locked="0"/>
    </xf>
    <xf numFmtId="171" fontId="7" fillId="0" borderId="1" xfId="0" applyNumberFormat="1" applyFont="1" applyFill="1" applyBorder="1" applyAlignment="1" applyProtection="1">
      <alignment vertical="top" wrapText="1"/>
      <protection locked="0"/>
    </xf>
    <xf numFmtId="0" fontId="81" fillId="3" borderId="0" xfId="0" quotePrefix="1" applyFont="1" applyFill="1" applyBorder="1" applyAlignment="1" applyProtection="1">
      <alignment vertical="center" wrapText="1"/>
    </xf>
    <xf numFmtId="0" fontId="18" fillId="3" borderId="0" xfId="0" applyFont="1" applyFill="1" applyBorder="1" applyAlignment="1" applyProtection="1">
      <alignment horizontal="left"/>
    </xf>
    <xf numFmtId="2" fontId="4" fillId="0" borderId="1" xfId="0" applyNumberFormat="1" applyFont="1" applyFill="1" applyBorder="1" applyAlignment="1">
      <alignment vertical="center"/>
    </xf>
    <xf numFmtId="0" fontId="4" fillId="0" borderId="1" xfId="0" applyFont="1" applyBorder="1"/>
    <xf numFmtId="0" fontId="1" fillId="0" borderId="0" xfId="0" applyFont="1" applyProtection="1"/>
    <xf numFmtId="0" fontId="49" fillId="0" borderId="0" xfId="0" applyFont="1" applyAlignment="1" applyProtection="1">
      <alignment horizontal="left" vertical="center"/>
    </xf>
    <xf numFmtId="179" fontId="110" fillId="0" borderId="1" xfId="44" applyNumberFormat="1" applyFont="1" applyFill="1" applyBorder="1" applyAlignment="1" applyProtection="1">
      <alignment vertical="center"/>
      <protection locked="0"/>
    </xf>
    <xf numFmtId="0" fontId="1" fillId="0" borderId="0" xfId="0" applyFont="1" applyAlignment="1" applyProtection="1">
      <alignment wrapText="1"/>
    </xf>
    <xf numFmtId="167" fontId="110" fillId="0" borderId="1" xfId="44" applyNumberFormat="1" applyFont="1" applyFill="1" applyBorder="1" applyAlignment="1" applyProtection="1">
      <alignment vertical="center" wrapText="1"/>
      <protection locked="0"/>
    </xf>
    <xf numFmtId="2" fontId="107" fillId="7" borderId="11" xfId="0" applyNumberFormat="1" applyFont="1" applyFill="1" applyBorder="1" applyAlignment="1" applyProtection="1">
      <alignment horizontal="center" vertical="center" wrapText="1"/>
      <protection locked="0"/>
    </xf>
    <xf numFmtId="166" fontId="31" fillId="0" borderId="37" xfId="44" applyFont="1" applyFill="1" applyBorder="1" applyAlignment="1" applyProtection="1">
      <alignment horizontal="center" vertical="center" wrapText="1"/>
      <protection locked="0"/>
    </xf>
    <xf numFmtId="0" fontId="17" fillId="3" borderId="1" xfId="0" applyFont="1" applyFill="1" applyBorder="1" applyProtection="1">
      <protection locked="0"/>
    </xf>
    <xf numFmtId="0" fontId="20" fillId="3" borderId="1" xfId="0" applyFont="1" applyFill="1" applyBorder="1" applyProtection="1">
      <protection locked="0"/>
    </xf>
    <xf numFmtId="166" fontId="31" fillId="0" borderId="1" xfId="44" applyFont="1" applyFill="1" applyBorder="1" applyAlignment="1" applyProtection="1">
      <alignment horizontal="center" vertical="center" wrapText="1"/>
      <protection locked="0"/>
    </xf>
    <xf numFmtId="0" fontId="20" fillId="0" borderId="1" xfId="0" applyFont="1" applyFill="1" applyBorder="1" applyAlignment="1" applyProtection="1">
      <alignment wrapText="1"/>
      <protection locked="0"/>
    </xf>
    <xf numFmtId="0" fontId="17" fillId="16" borderId="0" xfId="0" applyFont="1" applyFill="1" applyProtection="1">
      <protection locked="0"/>
    </xf>
    <xf numFmtId="167" fontId="30" fillId="0" borderId="1" xfId="44" applyNumberFormat="1" applyFont="1" applyFill="1" applyBorder="1" applyAlignment="1" applyProtection="1">
      <alignment vertical="center" wrapText="1"/>
      <protection locked="0"/>
    </xf>
    <xf numFmtId="179" fontId="30" fillId="0" borderId="2" xfId="44" applyNumberFormat="1" applyFont="1" applyFill="1" applyBorder="1" applyAlignment="1" applyProtection="1">
      <alignment vertical="center"/>
      <protection locked="0"/>
    </xf>
    <xf numFmtId="0" fontId="103" fillId="3" borderId="0" xfId="0" applyFont="1" applyFill="1" applyAlignment="1" applyProtection="1">
      <alignment wrapText="1"/>
    </xf>
    <xf numFmtId="0" fontId="105" fillId="3" borderId="0" xfId="0" applyFont="1" applyFill="1" applyAlignment="1" applyProtection="1">
      <alignment vertical="center" wrapText="1"/>
    </xf>
    <xf numFmtId="0" fontId="18" fillId="3" borderId="0" xfId="0" applyFont="1" applyFill="1" applyBorder="1" applyAlignment="1" applyProtection="1">
      <alignment horizontal="left" wrapText="1"/>
    </xf>
    <xf numFmtId="0" fontId="107" fillId="3" borderId="3" xfId="0" applyFont="1" applyFill="1" applyBorder="1" applyAlignment="1" applyProtection="1">
      <alignment wrapText="1"/>
      <protection locked="0"/>
    </xf>
    <xf numFmtId="0" fontId="107" fillId="0" borderId="0" xfId="0" applyFont="1" applyAlignment="1" applyProtection="1">
      <alignment wrapText="1"/>
      <protection locked="0"/>
    </xf>
    <xf numFmtId="0" fontId="4" fillId="14" borderId="5" xfId="0" applyFont="1" applyFill="1" applyBorder="1" applyAlignment="1" applyProtection="1">
      <alignment horizontal="center" vertical="center" wrapText="1"/>
    </xf>
    <xf numFmtId="171" fontId="107" fillId="9" borderId="16" xfId="0" applyNumberFormat="1" applyFont="1" applyFill="1" applyBorder="1" applyAlignment="1" applyProtection="1">
      <alignment vertical="center" wrapText="1"/>
    </xf>
    <xf numFmtId="2" fontId="107" fillId="21" borderId="16" xfId="0" applyNumberFormat="1" applyFont="1" applyFill="1" applyBorder="1" applyAlignment="1" applyProtection="1">
      <alignment horizontal="center" vertical="center" wrapText="1"/>
      <protection locked="0"/>
    </xf>
    <xf numFmtId="0" fontId="107" fillId="21" borderId="16" xfId="0" applyFont="1" applyFill="1" applyBorder="1" applyAlignment="1" applyProtection="1">
      <alignment horizontal="center" vertical="center" wrapText="1"/>
      <protection locked="0"/>
    </xf>
    <xf numFmtId="0" fontId="45" fillId="4" borderId="29" xfId="0" applyFont="1" applyFill="1" applyBorder="1" applyAlignment="1" applyProtection="1">
      <alignment horizontal="center" vertical="center" wrapText="1"/>
    </xf>
    <xf numFmtId="0" fontId="102" fillId="20" borderId="29" xfId="0" applyFont="1" applyFill="1" applyBorder="1" applyAlignment="1" applyProtection="1">
      <alignment horizontal="center" vertical="center"/>
    </xf>
    <xf numFmtId="0" fontId="102" fillId="20" borderId="29" xfId="0" applyFont="1" applyFill="1" applyBorder="1" applyAlignment="1" applyProtection="1">
      <alignment horizontal="left" vertical="center"/>
    </xf>
    <xf numFmtId="0" fontId="102" fillId="20" borderId="29" xfId="0" applyFont="1" applyFill="1" applyBorder="1" applyAlignment="1" applyProtection="1">
      <alignment horizontal="center" vertical="center" wrapText="1"/>
    </xf>
    <xf numFmtId="0" fontId="107" fillId="21" borderId="11" xfId="0" applyFont="1" applyFill="1" applyBorder="1" applyAlignment="1" applyProtection="1">
      <alignment vertical="center" wrapText="1"/>
    </xf>
    <xf numFmtId="171" fontId="107" fillId="21" borderId="29" xfId="0" applyNumberFormat="1" applyFont="1" applyFill="1" applyBorder="1" applyAlignment="1" applyProtection="1">
      <alignment horizontal="center" vertical="center" wrapText="1"/>
    </xf>
    <xf numFmtId="1" fontId="107" fillId="21" borderId="16" xfId="0" applyNumberFormat="1" applyFont="1" applyFill="1" applyBorder="1" applyAlignment="1" applyProtection="1">
      <alignment horizontal="center" vertical="center" wrapText="1"/>
    </xf>
    <xf numFmtId="171" fontId="102" fillId="21" borderId="29" xfId="0" applyNumberFormat="1" applyFont="1" applyFill="1" applyBorder="1" applyAlignment="1" applyProtection="1">
      <alignment horizontal="center" vertical="center" wrapText="1"/>
    </xf>
    <xf numFmtId="0" fontId="107" fillId="21" borderId="4" xfId="0" applyFont="1" applyFill="1" applyBorder="1" applyAlignment="1" applyProtection="1">
      <alignment vertical="center" wrapText="1"/>
    </xf>
    <xf numFmtId="1" fontId="107" fillId="21" borderId="29" xfId="0" applyNumberFormat="1" applyFont="1" applyFill="1" applyBorder="1" applyAlignment="1" applyProtection="1">
      <alignment horizontal="center" vertical="center" wrapText="1"/>
    </xf>
    <xf numFmtId="2" fontId="3" fillId="9" borderId="26" xfId="45" applyNumberFormat="1" applyFont="1" applyFill="1" applyBorder="1" applyAlignment="1" applyProtection="1">
      <alignment vertical="center" wrapText="1"/>
    </xf>
    <xf numFmtId="0" fontId="129" fillId="0" borderId="0" xfId="0" applyFont="1" applyProtection="1"/>
    <xf numFmtId="0" fontId="104" fillId="5" borderId="0" xfId="0" applyFont="1" applyFill="1" applyProtection="1"/>
    <xf numFmtId="0" fontId="130" fillId="3" borderId="0" xfId="0" applyFont="1" applyFill="1" applyBorder="1" applyAlignment="1" applyProtection="1">
      <alignment horizontal="center" vertical="center"/>
    </xf>
    <xf numFmtId="173" fontId="130" fillId="3" borderId="0" xfId="45" applyNumberFormat="1" applyFont="1" applyFill="1" applyBorder="1" applyAlignment="1" applyProtection="1">
      <alignment vertical="center"/>
    </xf>
    <xf numFmtId="0" fontId="129" fillId="0" borderId="0" xfId="0" applyFont="1" applyAlignment="1" applyProtection="1">
      <alignment horizontal="center"/>
    </xf>
    <xf numFmtId="0" fontId="102" fillId="43" borderId="10" xfId="0" applyFont="1" applyFill="1" applyBorder="1" applyAlignment="1" applyProtection="1"/>
    <xf numFmtId="0" fontId="102" fillId="3" borderId="3" xfId="0" applyFont="1" applyFill="1" applyBorder="1" applyProtection="1">
      <protection locked="0"/>
    </xf>
    <xf numFmtId="0" fontId="102" fillId="3" borderId="9" xfId="0" applyFont="1" applyFill="1" applyBorder="1" applyProtection="1">
      <protection locked="0"/>
    </xf>
    <xf numFmtId="0" fontId="102" fillId="3" borderId="0" xfId="0" applyFont="1" applyFill="1" applyProtection="1">
      <protection locked="0"/>
    </xf>
    <xf numFmtId="0" fontId="102" fillId="0" borderId="0" xfId="0" applyFont="1" applyProtection="1">
      <protection locked="0"/>
    </xf>
    <xf numFmtId="0" fontId="106" fillId="3" borderId="0" xfId="0" quotePrefix="1" applyFont="1" applyFill="1" applyAlignment="1" applyProtection="1">
      <alignment horizontal="left" vertical="center"/>
    </xf>
    <xf numFmtId="171" fontId="45" fillId="4" borderId="4" xfId="0" applyNumberFormat="1" applyFont="1" applyFill="1" applyBorder="1" applyAlignment="1" applyProtection="1">
      <alignment horizontal="center" vertical="center" wrapText="1"/>
    </xf>
    <xf numFmtId="0" fontId="47" fillId="0" borderId="10" xfId="0" applyFont="1" applyBorder="1" applyAlignment="1" applyProtection="1">
      <alignment horizontal="center" vertical="center"/>
    </xf>
    <xf numFmtId="3" fontId="45" fillId="4" borderId="5" xfId="0" applyNumberFormat="1" applyFont="1" applyFill="1" applyBorder="1" applyAlignment="1">
      <alignment horizontal="left" vertical="center"/>
    </xf>
    <xf numFmtId="0" fontId="45" fillId="4" borderId="4" xfId="0" applyFont="1" applyFill="1" applyBorder="1" applyAlignment="1" applyProtection="1">
      <alignment horizontal="right" vertical="center" wrapText="1"/>
    </xf>
    <xf numFmtId="1" fontId="17" fillId="0" borderId="16" xfId="0" applyNumberFormat="1" applyFont="1" applyBorder="1" applyAlignment="1" applyProtection="1">
      <alignment vertical="center" wrapText="1"/>
      <protection locked="0"/>
    </xf>
    <xf numFmtId="171" fontId="17" fillId="0" borderId="16" xfId="0" applyNumberFormat="1" applyFont="1" applyBorder="1" applyAlignment="1" applyProtection="1">
      <alignment vertical="center" wrapText="1"/>
      <protection locked="0"/>
    </xf>
    <xf numFmtId="1" fontId="17" fillId="0" borderId="16" xfId="0" applyNumberFormat="1" applyFont="1" applyBorder="1" applyAlignment="1" applyProtection="1">
      <alignment horizontal="center" vertical="center" wrapText="1"/>
      <protection locked="0"/>
    </xf>
    <xf numFmtId="1" fontId="17" fillId="0" borderId="29" xfId="0" applyNumberFormat="1" applyFont="1" applyBorder="1" applyAlignment="1" applyProtection="1">
      <alignment vertical="center" wrapText="1"/>
      <protection locked="0"/>
    </xf>
    <xf numFmtId="0" fontId="101" fillId="33" borderId="60" xfId="0" applyFont="1" applyFill="1" applyBorder="1" applyAlignment="1">
      <alignment vertical="center" wrapText="1"/>
    </xf>
    <xf numFmtId="14" fontId="17" fillId="0" borderId="29" xfId="0" applyNumberFormat="1" applyFont="1" applyBorder="1" applyAlignment="1" applyProtection="1">
      <alignment vertical="center" wrapText="1"/>
      <protection locked="0"/>
    </xf>
    <xf numFmtId="2" fontId="3" fillId="9" borderId="29" xfId="45" applyNumberFormat="1" applyFont="1" applyFill="1" applyBorder="1" applyAlignment="1" applyProtection="1">
      <alignment vertical="center" wrapText="1"/>
    </xf>
    <xf numFmtId="0" fontId="12" fillId="45" borderId="44" xfId="47" applyFont="1" applyFill="1" applyBorder="1" applyAlignment="1">
      <alignment vertical="center"/>
    </xf>
    <xf numFmtId="0" fontId="53" fillId="38" borderId="53" xfId="47" applyFont="1" applyFill="1" applyBorder="1" applyAlignment="1" applyProtection="1">
      <alignment horizontal="left" vertical="center"/>
      <protection locked="0"/>
    </xf>
    <xf numFmtId="0" fontId="12" fillId="38" borderId="44" xfId="47" applyFont="1" applyFill="1" applyBorder="1" applyAlignment="1" applyProtection="1">
      <alignment horizontal="left" vertical="center"/>
      <protection locked="0"/>
    </xf>
    <xf numFmtId="0" fontId="12" fillId="30" borderId="44" xfId="47" applyFont="1" applyFill="1" applyBorder="1" applyAlignment="1" applyProtection="1">
      <alignment horizontal="center" vertical="center" wrapText="1"/>
      <protection locked="0"/>
    </xf>
    <xf numFmtId="0" fontId="12" fillId="30" borderId="52" xfId="47" applyFont="1" applyFill="1" applyBorder="1" applyAlignment="1" applyProtection="1">
      <alignment vertical="center"/>
      <protection locked="0"/>
    </xf>
    <xf numFmtId="0" fontId="56" fillId="33" borderId="60" xfId="0" applyFont="1" applyFill="1" applyBorder="1" applyAlignment="1" applyProtection="1">
      <alignment vertical="center" wrapText="1"/>
      <protection locked="0"/>
    </xf>
    <xf numFmtId="0" fontId="56" fillId="33" borderId="77" xfId="0" applyFont="1" applyFill="1" applyBorder="1" applyAlignment="1" applyProtection="1">
      <alignment vertical="center" wrapText="1"/>
      <protection locked="0"/>
    </xf>
    <xf numFmtId="0" fontId="56" fillId="33" borderId="29" xfId="0" applyFont="1" applyFill="1" applyBorder="1" applyAlignment="1" applyProtection="1">
      <alignment vertical="center" wrapText="1"/>
      <protection locked="0"/>
    </xf>
    <xf numFmtId="0" fontId="17" fillId="15" borderId="11" xfId="0" applyFont="1" applyFill="1" applyBorder="1" applyAlignment="1" applyProtection="1">
      <alignment vertical="center" wrapText="1"/>
      <protection locked="0"/>
    </xf>
    <xf numFmtId="0" fontId="17" fillId="15" borderId="29" xfId="0" applyFont="1" applyFill="1" applyBorder="1" applyAlignment="1" applyProtection="1">
      <alignment vertical="center" wrapText="1"/>
      <protection locked="0"/>
    </xf>
    <xf numFmtId="0" fontId="17" fillId="15" borderId="76" xfId="0" applyFont="1" applyFill="1" applyBorder="1" applyAlignment="1" applyProtection="1">
      <alignment vertical="center" wrapText="1"/>
      <protection locked="0"/>
    </xf>
    <xf numFmtId="0" fontId="17" fillId="15" borderId="10" xfId="0" applyFont="1" applyFill="1" applyBorder="1" applyAlignment="1" applyProtection="1">
      <alignment vertical="center" wrapText="1"/>
      <protection locked="0"/>
    </xf>
    <xf numFmtId="0" fontId="17" fillId="15" borderId="4" xfId="0" applyFont="1" applyFill="1" applyBorder="1" applyAlignment="1" applyProtection="1">
      <alignment vertical="center" wrapText="1"/>
      <protection locked="0"/>
    </xf>
    <xf numFmtId="0" fontId="55" fillId="45" borderId="44" xfId="47" applyFont="1" applyFill="1" applyBorder="1" applyAlignment="1">
      <alignment vertical="center" wrapText="1"/>
    </xf>
    <xf numFmtId="0" fontId="12" fillId="45" borderId="45" xfId="47" applyFont="1" applyFill="1" applyBorder="1" applyAlignment="1">
      <alignment horizontal="left" vertical="center" wrapText="1"/>
    </xf>
    <xf numFmtId="0" fontId="12" fillId="45" borderId="44" xfId="47" applyFont="1" applyFill="1" applyBorder="1" applyAlignment="1">
      <alignment horizontal="left" vertical="center" wrapText="1"/>
    </xf>
    <xf numFmtId="0" fontId="12" fillId="45" borderId="44" xfId="47" applyFont="1" applyFill="1" applyBorder="1" applyAlignment="1">
      <alignment vertical="center" wrapText="1"/>
    </xf>
    <xf numFmtId="0" fontId="55" fillId="45" borderId="44" xfId="47" applyFont="1" applyFill="1" applyBorder="1" applyAlignment="1">
      <alignment horizontal="left" vertical="center" wrapText="1"/>
    </xf>
    <xf numFmtId="0" fontId="12" fillId="45" borderId="44" xfId="0" applyFont="1" applyFill="1" applyBorder="1" applyAlignment="1">
      <alignment horizontal="left" vertical="center" wrapText="1"/>
    </xf>
    <xf numFmtId="0" fontId="56" fillId="45" borderId="45" xfId="47" applyFont="1" applyFill="1" applyBorder="1" applyAlignment="1">
      <alignment horizontal="left" vertical="center"/>
    </xf>
    <xf numFmtId="0" fontId="57" fillId="45" borderId="44" xfId="47" applyFont="1" applyFill="1" applyBorder="1" applyAlignment="1">
      <alignment horizontal="left" vertical="center" wrapText="1"/>
    </xf>
    <xf numFmtId="0" fontId="56" fillId="45" borderId="44" xfId="47" applyFont="1" applyFill="1" applyBorder="1" applyAlignment="1">
      <alignment horizontal="left" vertical="center"/>
    </xf>
    <xf numFmtId="0" fontId="56" fillId="45" borderId="44" xfId="0" quotePrefix="1" applyFont="1" applyFill="1" applyBorder="1" applyAlignment="1">
      <alignment horizontal="left" vertical="center" wrapText="1"/>
    </xf>
    <xf numFmtId="0" fontId="12" fillId="9" borderId="44" xfId="47" applyFont="1" applyFill="1" applyBorder="1" applyAlignment="1">
      <alignment vertical="center" wrapText="1"/>
    </xf>
    <xf numFmtId="0" fontId="12" fillId="45" borderId="54" xfId="47" applyFont="1" applyFill="1" applyBorder="1" applyAlignment="1">
      <alignment horizontal="left" vertical="center" wrapText="1"/>
    </xf>
    <xf numFmtId="0" fontId="12" fillId="33" borderId="44" xfId="47" applyFont="1" applyFill="1" applyBorder="1" applyAlignment="1" applyProtection="1">
      <alignment vertical="center" wrapText="1"/>
      <protection locked="0"/>
    </xf>
    <xf numFmtId="0" fontId="12" fillId="30" borderId="45" xfId="47" applyFont="1" applyFill="1" applyBorder="1" applyAlignment="1" applyProtection="1">
      <alignment horizontal="left" vertical="center" wrapText="1"/>
      <protection locked="0"/>
    </xf>
    <xf numFmtId="0" fontId="12" fillId="30" borderId="44" xfId="47" applyFont="1" applyFill="1" applyBorder="1" applyAlignment="1" applyProtection="1">
      <alignment vertical="center" wrapText="1"/>
      <protection locked="0"/>
    </xf>
    <xf numFmtId="0" fontId="12" fillId="30" borderId="44" xfId="47" applyFont="1" applyFill="1" applyBorder="1" applyAlignment="1" applyProtection="1">
      <alignment horizontal="left" vertical="center" wrapText="1"/>
      <protection locked="0"/>
    </xf>
    <xf numFmtId="178" fontId="12" fillId="34" borderId="44" xfId="47" applyNumberFormat="1" applyFont="1" applyFill="1" applyBorder="1" applyAlignment="1">
      <alignment vertical="center"/>
    </xf>
    <xf numFmtId="0" fontId="57" fillId="0" borderId="0" xfId="47" applyFont="1"/>
    <xf numFmtId="0" fontId="65" fillId="30" borderId="0" xfId="47" applyFont="1" applyFill="1" applyAlignment="1">
      <alignment horizontal="center" vertical="center" wrapText="1"/>
    </xf>
    <xf numFmtId="0" fontId="55" fillId="35" borderId="53" xfId="47" applyFont="1" applyFill="1" applyBorder="1" applyAlignment="1">
      <alignment horizontal="center" vertical="center" wrapText="1"/>
    </xf>
    <xf numFmtId="0" fontId="53" fillId="30" borderId="0" xfId="47" applyFont="1" applyFill="1" applyBorder="1"/>
    <xf numFmtId="0" fontId="55" fillId="35" borderId="52" xfId="0" applyFont="1" applyFill="1" applyBorder="1" applyAlignment="1">
      <alignment horizontal="center" vertical="center" wrapText="1"/>
    </xf>
    <xf numFmtId="0" fontId="12" fillId="30" borderId="47" xfId="47" applyFont="1" applyFill="1" applyBorder="1" applyAlignment="1" applyProtection="1">
      <alignment vertical="center"/>
      <protection locked="0"/>
    </xf>
    <xf numFmtId="0" fontId="55" fillId="35" borderId="1" xfId="0" applyFont="1" applyFill="1" applyBorder="1" applyAlignment="1">
      <alignment horizontal="center" vertical="center" wrapText="1"/>
    </xf>
    <xf numFmtId="0" fontId="76" fillId="0" borderId="44" xfId="0" applyFont="1" applyBorder="1" applyAlignment="1">
      <alignment vertical="top" wrapText="1"/>
    </xf>
    <xf numFmtId="0" fontId="37" fillId="0" borderId="44" xfId="0" applyFont="1" applyBorder="1" applyAlignment="1">
      <alignment vertical="top" wrapText="1"/>
    </xf>
    <xf numFmtId="0" fontId="12" fillId="45" borderId="52" xfId="47" applyFont="1" applyFill="1" applyBorder="1" applyAlignment="1">
      <alignment vertical="center"/>
    </xf>
    <xf numFmtId="0" fontId="55" fillId="35" borderId="6" xfId="0" applyFont="1" applyFill="1" applyBorder="1" applyAlignment="1">
      <alignment horizontal="center" vertical="center" wrapText="1"/>
    </xf>
    <xf numFmtId="0" fontId="12" fillId="38" borderId="53" xfId="47" applyFont="1" applyFill="1" applyBorder="1" applyAlignment="1" applyProtection="1">
      <alignment horizontal="left" vertical="center"/>
      <protection locked="0"/>
    </xf>
    <xf numFmtId="0" fontId="12" fillId="30" borderId="1" xfId="47" applyFont="1" applyFill="1" applyBorder="1" applyAlignment="1" applyProtection="1">
      <alignment vertical="center"/>
      <protection locked="0"/>
    </xf>
    <xf numFmtId="0" fontId="131" fillId="14" borderId="29" xfId="0" applyFont="1" applyFill="1" applyBorder="1" applyAlignment="1" applyProtection="1">
      <alignment horizontal="center" vertical="center"/>
    </xf>
    <xf numFmtId="2" fontId="132" fillId="14" borderId="29" xfId="0" applyNumberFormat="1" applyFont="1" applyFill="1" applyBorder="1" applyAlignment="1" applyProtection="1">
      <alignment horizontal="center" vertical="center" wrapText="1"/>
    </xf>
    <xf numFmtId="0" fontId="133" fillId="0" borderId="0" xfId="0" applyFont="1" applyProtection="1"/>
    <xf numFmtId="0" fontId="102" fillId="20" borderId="4" xfId="0" applyFont="1" applyFill="1" applyBorder="1" applyAlignment="1" applyProtection="1">
      <alignment horizontal="center" vertical="center" wrapText="1"/>
    </xf>
    <xf numFmtId="0" fontId="102" fillId="21" borderId="14" xfId="0" applyFont="1" applyFill="1" applyBorder="1" applyAlignment="1" applyProtection="1">
      <alignment horizontal="center" vertical="center"/>
    </xf>
    <xf numFmtId="0" fontId="108" fillId="3" borderId="0" xfId="0" applyFont="1" applyFill="1" applyBorder="1" applyAlignment="1" applyProtection="1">
      <alignment horizontal="center" vertical="top" wrapText="1"/>
      <protection locked="0"/>
    </xf>
    <xf numFmtId="0" fontId="118" fillId="3" borderId="0" xfId="0" applyFont="1" applyFill="1" applyBorder="1" applyAlignment="1" applyProtection="1">
      <alignment horizontal="center" vertical="top" wrapText="1"/>
      <protection locked="0"/>
    </xf>
    <xf numFmtId="2" fontId="109" fillId="6" borderId="0" xfId="0" applyNumberFormat="1" applyFont="1" applyFill="1" applyBorder="1" applyAlignment="1" applyProtection="1">
      <alignment vertical="top" wrapText="1"/>
      <protection locked="0"/>
    </xf>
    <xf numFmtId="0" fontId="69" fillId="30" borderId="0" xfId="0" quotePrefix="1" applyFont="1" applyFill="1" applyAlignment="1">
      <alignment horizontal="left" wrapText="1"/>
    </xf>
    <xf numFmtId="0" fontId="69" fillId="30" borderId="35" xfId="0" quotePrefix="1" applyFont="1" applyFill="1" applyBorder="1" applyAlignment="1">
      <alignment horizontal="left" wrapText="1"/>
    </xf>
    <xf numFmtId="0" fontId="55" fillId="35" borderId="45" xfId="47" applyFont="1" applyFill="1" applyBorder="1" applyAlignment="1">
      <alignment horizontal="center" vertical="center" wrapText="1"/>
    </xf>
    <xf numFmtId="0" fontId="57" fillId="0" borderId="47" xfId="47" applyFont="1" applyBorder="1"/>
    <xf numFmtId="0" fontId="73" fillId="30" borderId="0" xfId="47" applyFont="1" applyFill="1" applyAlignment="1">
      <alignment horizontal="center" vertical="center" wrapText="1"/>
    </xf>
    <xf numFmtId="0" fontId="57" fillId="0" borderId="0" xfId="47" applyFont="1"/>
    <xf numFmtId="0" fontId="65" fillId="30" borderId="0" xfId="47" applyFont="1" applyFill="1" applyAlignment="1">
      <alignment horizontal="center" vertical="center" wrapText="1"/>
    </xf>
    <xf numFmtId="0" fontId="55" fillId="35" borderId="52" xfId="47" applyFont="1" applyFill="1" applyBorder="1" applyAlignment="1">
      <alignment horizontal="center" vertical="center" wrapText="1"/>
    </xf>
    <xf numFmtId="0" fontId="55" fillId="35" borderId="57" xfId="47" applyFont="1" applyFill="1" applyBorder="1" applyAlignment="1">
      <alignment horizontal="center" vertical="center" wrapText="1"/>
    </xf>
    <xf numFmtId="0" fontId="55" fillId="35" borderId="53" xfId="47" applyFont="1" applyFill="1" applyBorder="1" applyAlignment="1">
      <alignment horizontal="center" vertical="center" wrapText="1"/>
    </xf>
    <xf numFmtId="0" fontId="57" fillId="0" borderId="57" xfId="47" applyFont="1" applyBorder="1"/>
    <xf numFmtId="0" fontId="57" fillId="0" borderId="53" xfId="47" applyFont="1" applyBorder="1"/>
    <xf numFmtId="0" fontId="71" fillId="35" borderId="1" xfId="47" applyFont="1" applyFill="1" applyBorder="1" applyAlignment="1">
      <alignment horizontal="center" vertical="center" wrapText="1"/>
    </xf>
    <xf numFmtId="0" fontId="69" fillId="0" borderId="22" xfId="0" quotePrefix="1" applyFont="1" applyFill="1" applyBorder="1" applyAlignment="1">
      <alignment horizontal="left" vertical="top" wrapText="1"/>
    </xf>
    <xf numFmtId="0" fontId="69" fillId="0" borderId="15" xfId="0" quotePrefix="1" applyFont="1" applyFill="1" applyBorder="1" applyAlignment="1">
      <alignment horizontal="left" vertical="top" wrapText="1"/>
    </xf>
    <xf numFmtId="0" fontId="55" fillId="35" borderId="0" xfId="47" applyFont="1" applyFill="1" applyBorder="1" applyAlignment="1">
      <alignment horizontal="center" vertical="center" wrapText="1"/>
    </xf>
    <xf numFmtId="0" fontId="55" fillId="35" borderId="78" xfId="47" applyFont="1" applyFill="1" applyBorder="1" applyAlignment="1">
      <alignment horizontal="center" vertical="center" wrapText="1"/>
    </xf>
    <xf numFmtId="0" fontId="2" fillId="3" borderId="0" xfId="0" applyFont="1" applyFill="1" applyAlignment="1" applyProtection="1">
      <alignment horizontal="left" vertical="center" wrapText="1"/>
    </xf>
    <xf numFmtId="0" fontId="27" fillId="3" borderId="0" xfId="0" quotePrefix="1" applyFont="1" applyFill="1" applyAlignment="1">
      <alignment horizontal="left" vertical="center" wrapText="1"/>
    </xf>
    <xf numFmtId="0" fontId="16" fillId="3" borderId="0" xfId="0" quotePrefix="1" applyFont="1" applyFill="1" applyAlignment="1">
      <alignment horizontal="left" vertical="center" wrapText="1"/>
    </xf>
    <xf numFmtId="0" fontId="27" fillId="3" borderId="0" xfId="0" applyFont="1" applyFill="1" applyAlignment="1">
      <alignment horizontal="left" vertical="center" wrapText="1"/>
    </xf>
    <xf numFmtId="0" fontId="16" fillId="3" borderId="0" xfId="0" applyFont="1" applyFill="1" applyAlignment="1">
      <alignment horizontal="left" vertical="center" wrapText="1"/>
    </xf>
    <xf numFmtId="0" fontId="27" fillId="3" borderId="0" xfId="0" quotePrefix="1" applyFont="1" applyFill="1" applyBorder="1" applyAlignment="1" applyProtection="1">
      <alignment horizontal="left" vertical="top" wrapText="1"/>
    </xf>
    <xf numFmtId="0" fontId="27" fillId="3" borderId="0" xfId="0" quotePrefix="1" applyFont="1" applyFill="1" applyBorder="1" applyAlignment="1" applyProtection="1">
      <alignment horizontal="left" vertical="center" wrapText="1"/>
    </xf>
    <xf numFmtId="0" fontId="28" fillId="3" borderId="0" xfId="0" quotePrefix="1" applyFont="1" applyFill="1" applyBorder="1" applyAlignment="1" applyProtection="1">
      <alignment horizontal="left" vertical="center" wrapText="1"/>
    </xf>
    <xf numFmtId="0" fontId="123" fillId="42" borderId="67" xfId="0" applyFont="1" applyFill="1" applyBorder="1" applyAlignment="1">
      <alignment horizontal="center" vertical="center" wrapText="1"/>
    </xf>
    <xf numFmtId="0" fontId="101" fillId="0" borderId="68" xfId="0" applyFont="1" applyBorder="1"/>
    <xf numFmtId="0" fontId="5" fillId="26" borderId="27" xfId="25" applyFont="1" applyFill="1" applyBorder="1" applyAlignment="1" applyProtection="1">
      <alignment horizontal="center" vertical="center" wrapText="1"/>
    </xf>
    <xf numFmtId="0" fontId="5" fillId="26" borderId="28" xfId="25" applyFont="1" applyFill="1" applyBorder="1" applyAlignment="1" applyProtection="1">
      <alignment horizontal="center" vertical="center" wrapText="1"/>
    </xf>
    <xf numFmtId="0" fontId="100" fillId="34" borderId="61" xfId="0" applyFont="1" applyFill="1" applyBorder="1" applyAlignment="1">
      <alignment horizontal="center" vertical="center" wrapText="1"/>
    </xf>
    <xf numFmtId="0" fontId="100" fillId="34" borderId="63" xfId="0" applyFont="1" applyFill="1" applyBorder="1" applyAlignment="1">
      <alignment horizontal="center" vertical="center" wrapText="1"/>
    </xf>
    <xf numFmtId="0" fontId="55" fillId="34" borderId="75" xfId="0" applyFont="1" applyFill="1" applyBorder="1" applyAlignment="1">
      <alignment horizontal="center" vertical="center" wrapText="1"/>
    </xf>
    <xf numFmtId="0" fontId="56" fillId="0" borderId="65" xfId="0" applyFont="1" applyBorder="1"/>
    <xf numFmtId="0" fontId="102" fillId="20" borderId="4" xfId="0" applyFont="1" applyFill="1" applyBorder="1" applyAlignment="1" applyProtection="1">
      <alignment horizontal="center" vertical="center" wrapText="1"/>
    </xf>
    <xf numFmtId="0" fontId="102" fillId="20" borderId="5" xfId="0" applyFont="1" applyFill="1" applyBorder="1" applyAlignment="1" applyProtection="1">
      <alignment horizontal="center" vertical="center" wrapText="1"/>
    </xf>
    <xf numFmtId="0" fontId="102" fillId="20" borderId="4" xfId="0" applyFont="1" applyFill="1" applyBorder="1" applyAlignment="1" applyProtection="1">
      <alignment horizontal="center" vertical="center"/>
    </xf>
    <xf numFmtId="0" fontId="102" fillId="20" borderId="5" xfId="0" applyFont="1" applyFill="1" applyBorder="1" applyAlignment="1" applyProtection="1">
      <alignment horizontal="center" vertical="center"/>
    </xf>
    <xf numFmtId="0" fontId="108" fillId="3" borderId="1" xfId="0" applyFont="1" applyFill="1" applyBorder="1" applyAlignment="1" applyProtection="1">
      <alignment horizontal="center" vertical="top" wrapText="1"/>
      <protection locked="0"/>
    </xf>
    <xf numFmtId="0" fontId="63" fillId="3" borderId="2" xfId="0" applyFont="1" applyFill="1" applyBorder="1" applyAlignment="1" applyProtection="1">
      <alignment horizontal="left" vertical="top" wrapText="1"/>
      <protection locked="0"/>
    </xf>
    <xf numFmtId="0" fontId="63" fillId="3" borderId="6" xfId="0" applyFont="1" applyFill="1" applyBorder="1" applyAlignment="1" applyProtection="1">
      <alignment horizontal="left" vertical="top" wrapText="1"/>
      <protection locked="0"/>
    </xf>
    <xf numFmtId="0" fontId="118" fillId="3" borderId="1" xfId="0" applyFont="1" applyFill="1" applyBorder="1" applyAlignment="1" applyProtection="1">
      <alignment horizontal="center" vertical="top" wrapText="1"/>
      <protection locked="0"/>
    </xf>
    <xf numFmtId="0" fontId="100" fillId="34" borderId="24" xfId="0" applyFont="1" applyFill="1" applyBorder="1" applyAlignment="1">
      <alignment horizontal="center" vertical="center" wrapText="1"/>
    </xf>
    <xf numFmtId="0" fontId="100" fillId="34" borderId="62" xfId="0" applyFont="1" applyFill="1" applyBorder="1" applyAlignment="1">
      <alignment horizontal="center" vertical="center" wrapText="1"/>
    </xf>
    <xf numFmtId="173" fontId="89" fillId="42" borderId="66" xfId="0" applyNumberFormat="1" applyFont="1" applyFill="1" applyBorder="1" applyAlignment="1">
      <alignment horizontal="center" vertical="top" wrapText="1"/>
    </xf>
    <xf numFmtId="173" fontId="56" fillId="0" borderId="67" xfId="0" applyNumberFormat="1" applyFont="1" applyBorder="1"/>
    <xf numFmtId="173" fontId="56" fillId="0" borderId="68" xfId="0" applyNumberFormat="1" applyFont="1" applyBorder="1"/>
    <xf numFmtId="0" fontId="102" fillId="14" borderId="4" xfId="0" applyFont="1" applyFill="1" applyBorder="1" applyAlignment="1" applyProtection="1">
      <alignment horizontal="center" vertical="center"/>
    </xf>
    <xf numFmtId="0" fontId="102" fillId="14" borderId="5" xfId="0" applyFont="1" applyFill="1" applyBorder="1" applyAlignment="1" applyProtection="1">
      <alignment horizontal="center" vertical="center"/>
    </xf>
    <xf numFmtId="0" fontId="4" fillId="14" borderId="24" xfId="0" applyFont="1" applyFill="1" applyBorder="1" applyAlignment="1" applyProtection="1">
      <alignment horizontal="center" vertical="center" wrapText="1"/>
    </xf>
    <xf numFmtId="0" fontId="4" fillId="14" borderId="28" xfId="0" applyFont="1" applyFill="1" applyBorder="1" applyAlignment="1" applyProtection="1">
      <alignment horizontal="center" vertical="center" wrapText="1"/>
    </xf>
    <xf numFmtId="164" fontId="101" fillId="42" borderId="72" xfId="0" applyNumberFormat="1" applyFont="1" applyFill="1" applyBorder="1" applyAlignment="1">
      <alignment horizontal="center" vertical="top" wrapText="1"/>
    </xf>
    <xf numFmtId="164" fontId="101" fillId="42" borderId="73" xfId="0" applyNumberFormat="1" applyFont="1" applyFill="1" applyBorder="1" applyAlignment="1">
      <alignment horizontal="center" vertical="top" wrapText="1"/>
    </xf>
    <xf numFmtId="164" fontId="101" fillId="42" borderId="74" xfId="0" applyNumberFormat="1" applyFont="1" applyFill="1" applyBorder="1" applyAlignment="1">
      <alignment horizontal="center" vertical="top" wrapText="1"/>
    </xf>
    <xf numFmtId="0" fontId="100" fillId="0" borderId="68" xfId="0" applyFont="1" applyBorder="1"/>
    <xf numFmtId="0" fontId="123" fillId="42" borderId="66" xfId="0" applyFont="1" applyFill="1" applyBorder="1" applyAlignment="1">
      <alignment horizontal="center" vertical="center" wrapText="1"/>
    </xf>
    <xf numFmtId="0" fontId="74" fillId="42" borderId="66" xfId="0" applyFont="1" applyFill="1" applyBorder="1" applyAlignment="1">
      <alignment horizontal="center" vertical="center" wrapText="1"/>
    </xf>
    <xf numFmtId="0" fontId="56" fillId="0" borderId="68" xfId="0" applyFont="1" applyBorder="1"/>
    <xf numFmtId="0" fontId="107" fillId="3" borderId="0" xfId="0" applyFont="1" applyFill="1" applyBorder="1" applyAlignment="1" applyProtection="1">
      <alignment horizontal="center"/>
      <protection locked="0"/>
    </xf>
    <xf numFmtId="0" fontId="15" fillId="3" borderId="2" xfId="0" applyFont="1" applyFill="1" applyBorder="1" applyAlignment="1" applyProtection="1">
      <alignment horizontal="left" vertical="top" wrapText="1"/>
      <protection locked="0"/>
    </xf>
    <xf numFmtId="0" fontId="15" fillId="3" borderId="6" xfId="0" applyFont="1" applyFill="1" applyBorder="1" applyAlignment="1" applyProtection="1">
      <alignment horizontal="left" vertical="top" wrapText="1"/>
      <protection locked="0"/>
    </xf>
    <xf numFmtId="0" fontId="31" fillId="3" borderId="2" xfId="0" applyFont="1" applyFill="1" applyBorder="1" applyAlignment="1" applyProtection="1">
      <alignment horizontal="center" vertical="top" wrapText="1"/>
      <protection locked="0"/>
    </xf>
    <xf numFmtId="0" fontId="31" fillId="3" borderId="6" xfId="0" applyFont="1" applyFill="1" applyBorder="1" applyAlignment="1" applyProtection="1">
      <alignment horizontal="center" vertical="top" wrapText="1"/>
      <protection locked="0"/>
    </xf>
    <xf numFmtId="0" fontId="55" fillId="34" borderId="71" xfId="0" applyFont="1" applyFill="1" applyBorder="1" applyAlignment="1">
      <alignment horizontal="center" vertical="center" wrapText="1"/>
    </xf>
    <xf numFmtId="0" fontId="4" fillId="14" borderId="4" xfId="0" applyFont="1" applyFill="1" applyBorder="1" applyAlignment="1" applyProtection="1">
      <alignment horizontal="center" vertical="center" wrapText="1"/>
    </xf>
    <xf numFmtId="0" fontId="4" fillId="14" borderId="5" xfId="0" applyFont="1" applyFill="1" applyBorder="1" applyAlignment="1" applyProtection="1">
      <alignment horizontal="center" vertical="center" wrapText="1"/>
    </xf>
    <xf numFmtId="0" fontId="102" fillId="20" borderId="10" xfId="0" applyFont="1" applyFill="1" applyBorder="1" applyAlignment="1" applyProtection="1">
      <alignment horizontal="center" vertical="center" wrapText="1"/>
    </xf>
    <xf numFmtId="0" fontId="15" fillId="3" borderId="2" xfId="0" applyFont="1" applyFill="1" applyBorder="1" applyAlignment="1" applyProtection="1">
      <alignment horizontal="center" vertical="top" wrapText="1"/>
      <protection locked="0"/>
    </xf>
    <xf numFmtId="0" fontId="15" fillId="3" borderId="6" xfId="0" applyFont="1" applyFill="1" applyBorder="1" applyAlignment="1" applyProtection="1">
      <alignment horizontal="center" vertical="top" wrapText="1"/>
      <protection locked="0"/>
    </xf>
    <xf numFmtId="0" fontId="102" fillId="40" borderId="18" xfId="0" applyFont="1" applyFill="1" applyBorder="1" applyAlignment="1" applyProtection="1">
      <alignment horizontal="center" vertical="center" wrapText="1"/>
    </xf>
    <xf numFmtId="0" fontId="102" fillId="40" borderId="20" xfId="0" applyFont="1" applyFill="1" applyBorder="1" applyAlignment="1" applyProtection="1">
      <alignment horizontal="center" vertical="center" wrapText="1"/>
    </xf>
    <xf numFmtId="0" fontId="4" fillId="14" borderId="29" xfId="0" applyFont="1" applyFill="1" applyBorder="1" applyAlignment="1" applyProtection="1">
      <alignment horizontal="center" vertical="center" wrapText="1"/>
    </xf>
    <xf numFmtId="0" fontId="4" fillId="14" borderId="29" xfId="0" applyFont="1" applyFill="1" applyBorder="1" applyAlignment="1" applyProtection="1">
      <alignment horizontal="center" vertical="center"/>
    </xf>
    <xf numFmtId="0" fontId="102" fillId="41" borderId="24" xfId="0" applyFont="1" applyFill="1" applyBorder="1" applyAlignment="1" applyProtection="1">
      <alignment horizontal="center" vertical="center" wrapText="1"/>
    </xf>
    <xf numFmtId="0" fontId="102" fillId="41" borderId="27" xfId="0" applyFont="1" applyFill="1" applyBorder="1" applyAlignment="1" applyProtection="1">
      <alignment horizontal="center" vertical="center" wrapText="1"/>
    </xf>
    <xf numFmtId="0" fontId="102" fillId="41" borderId="28" xfId="0" applyFont="1" applyFill="1" applyBorder="1" applyAlignment="1" applyProtection="1">
      <alignment horizontal="center" vertical="center" wrapText="1"/>
    </xf>
    <xf numFmtId="0" fontId="102" fillId="25" borderId="14" xfId="0" applyFont="1" applyFill="1" applyBorder="1" applyAlignment="1" applyProtection="1">
      <alignment horizontal="center" vertical="center" wrapText="1"/>
    </xf>
    <xf numFmtId="0" fontId="102" fillId="25" borderId="22" xfId="0" applyFont="1" applyFill="1" applyBorder="1" applyAlignment="1" applyProtection="1">
      <alignment horizontal="center" vertical="center" wrapText="1"/>
    </xf>
    <xf numFmtId="0" fontId="102" fillId="25" borderId="15" xfId="0" applyFont="1" applyFill="1" applyBorder="1" applyAlignment="1" applyProtection="1">
      <alignment horizontal="center" vertical="center" wrapText="1"/>
    </xf>
    <xf numFmtId="164" fontId="102" fillId="9" borderId="17" xfId="0" applyNumberFormat="1" applyFont="1" applyFill="1" applyBorder="1" applyAlignment="1" applyProtection="1">
      <alignment horizontal="center" vertical="center" wrapText="1"/>
    </xf>
    <xf numFmtId="164" fontId="102" fillId="9" borderId="19" xfId="0" applyNumberFormat="1" applyFont="1" applyFill="1" applyBorder="1" applyAlignment="1" applyProtection="1">
      <alignment horizontal="center" vertical="center" wrapText="1"/>
    </xf>
    <xf numFmtId="0" fontId="131" fillId="14" borderId="29" xfId="0" applyFont="1" applyFill="1" applyBorder="1" applyAlignment="1" applyProtection="1">
      <alignment horizontal="center" vertical="center" wrapText="1"/>
    </xf>
    <xf numFmtId="0" fontId="131" fillId="14" borderId="29" xfId="0" applyFont="1" applyFill="1" applyBorder="1" applyAlignment="1" applyProtection="1">
      <alignment horizontal="center" vertical="center"/>
    </xf>
    <xf numFmtId="0" fontId="102" fillId="40" borderId="39" xfId="0" applyFont="1" applyFill="1" applyBorder="1" applyAlignment="1" applyProtection="1">
      <alignment horizontal="center" vertical="center" wrapText="1"/>
    </xf>
    <xf numFmtId="0" fontId="102" fillId="40" borderId="21" xfId="0" applyFont="1" applyFill="1" applyBorder="1" applyAlignment="1" applyProtection="1">
      <alignment horizontal="center" vertical="center" wrapText="1"/>
    </xf>
    <xf numFmtId="0" fontId="4" fillId="9" borderId="4" xfId="0" applyFont="1" applyFill="1" applyBorder="1" applyAlignment="1" applyProtection="1">
      <alignment horizontal="center" vertical="center"/>
    </xf>
    <xf numFmtId="0" fontId="4" fillId="9" borderId="10" xfId="0" applyFont="1" applyFill="1" applyBorder="1" applyAlignment="1" applyProtection="1">
      <alignment horizontal="center" vertical="center"/>
    </xf>
    <xf numFmtId="0" fontId="4" fillId="9" borderId="5" xfId="0" applyFont="1" applyFill="1" applyBorder="1" applyAlignment="1" applyProtection="1">
      <alignment horizontal="center" vertical="center"/>
    </xf>
    <xf numFmtId="0" fontId="4" fillId="13" borderId="4" xfId="0" applyFont="1" applyFill="1" applyBorder="1" applyAlignment="1" applyProtection="1">
      <alignment horizontal="center"/>
    </xf>
    <xf numFmtId="0" fontId="4" fillId="13" borderId="10" xfId="0" applyFont="1" applyFill="1" applyBorder="1" applyAlignment="1" applyProtection="1">
      <alignment horizontal="center"/>
    </xf>
    <xf numFmtId="0" fontId="4" fillId="13" borderId="5" xfId="0" applyFont="1" applyFill="1" applyBorder="1" applyAlignment="1" applyProtection="1">
      <alignment horizontal="center"/>
    </xf>
    <xf numFmtId="0" fontId="4" fillId="9" borderId="18" xfId="0" applyFont="1" applyFill="1" applyBorder="1" applyAlignment="1" applyProtection="1">
      <alignment horizontal="center" vertical="center" wrapText="1"/>
    </xf>
    <xf numFmtId="0" fontId="4" fillId="9" borderId="20" xfId="0" applyFont="1" applyFill="1" applyBorder="1" applyAlignment="1" applyProtection="1">
      <alignment horizontal="center" vertical="center" wrapText="1"/>
    </xf>
    <xf numFmtId="0" fontId="102" fillId="2" borderId="24" xfId="0" applyFont="1" applyFill="1" applyBorder="1" applyAlignment="1" applyProtection="1">
      <alignment horizontal="center" vertical="center" wrapText="1"/>
    </xf>
    <xf numFmtId="0" fontId="102" fillId="2" borderId="27" xfId="0" applyFont="1" applyFill="1" applyBorder="1" applyAlignment="1" applyProtection="1">
      <alignment horizontal="center" vertical="center" wrapText="1"/>
    </xf>
    <xf numFmtId="0" fontId="102" fillId="11" borderId="4" xfId="0" applyFont="1" applyFill="1" applyBorder="1" applyAlignment="1" applyProtection="1">
      <alignment horizontal="center" vertical="center" wrapText="1"/>
    </xf>
    <xf numFmtId="0" fontId="102" fillId="11" borderId="10" xfId="0" applyFont="1" applyFill="1" applyBorder="1" applyAlignment="1" applyProtection="1">
      <alignment horizontal="center" vertical="center" wrapText="1"/>
    </xf>
    <xf numFmtId="0" fontId="102" fillId="11" borderId="5" xfId="0" applyFont="1" applyFill="1" applyBorder="1" applyAlignment="1" applyProtection="1">
      <alignment horizontal="center" vertical="center" wrapText="1"/>
    </xf>
    <xf numFmtId="0" fontId="102" fillId="27" borderId="4" xfId="0" applyFont="1" applyFill="1" applyBorder="1" applyAlignment="1" applyProtection="1">
      <alignment horizontal="center" vertical="center" wrapText="1"/>
    </xf>
    <xf numFmtId="0" fontId="102" fillId="27" borderId="10" xfId="0" applyFont="1" applyFill="1" applyBorder="1" applyAlignment="1" applyProtection="1">
      <alignment horizontal="center" vertical="center" wrapText="1"/>
    </xf>
    <xf numFmtId="0" fontId="102" fillId="27" borderId="5" xfId="0" applyFont="1" applyFill="1" applyBorder="1" applyAlignment="1" applyProtection="1">
      <alignment horizontal="center" vertical="center" wrapText="1"/>
    </xf>
    <xf numFmtId="0" fontId="102" fillId="8" borderId="4" xfId="0" applyFont="1" applyFill="1" applyBorder="1" applyAlignment="1" applyProtection="1">
      <alignment horizontal="center" vertical="center" wrapText="1"/>
    </xf>
    <xf numFmtId="0" fontId="102" fillId="8" borderId="10" xfId="0" applyFont="1" applyFill="1" applyBorder="1" applyAlignment="1" applyProtection="1">
      <alignment horizontal="center" vertical="center" wrapText="1"/>
    </xf>
    <xf numFmtId="0" fontId="102" fillId="8" borderId="5" xfId="0" applyFont="1" applyFill="1" applyBorder="1" applyAlignment="1" applyProtection="1">
      <alignment horizontal="center" vertical="center" wrapText="1"/>
    </xf>
    <xf numFmtId="0" fontId="102" fillId="23" borderId="4" xfId="0" applyFont="1" applyFill="1" applyBorder="1" applyAlignment="1" applyProtection="1">
      <alignment horizontal="center" vertical="center" wrapText="1"/>
    </xf>
    <xf numFmtId="0" fontId="102" fillId="23" borderId="10" xfId="0" applyFont="1" applyFill="1" applyBorder="1" applyAlignment="1" applyProtection="1">
      <alignment horizontal="center" vertical="center" wrapText="1"/>
    </xf>
    <xf numFmtId="0" fontId="102" fillId="23" borderId="5" xfId="0" applyFont="1" applyFill="1" applyBorder="1" applyAlignment="1" applyProtection="1">
      <alignment horizontal="center" vertical="center" wrapText="1"/>
    </xf>
    <xf numFmtId="0" fontId="102" fillId="4" borderId="38" xfId="0" applyFont="1" applyFill="1" applyBorder="1" applyAlignment="1" applyProtection="1">
      <alignment horizontal="center" vertical="center" wrapText="1"/>
    </xf>
    <xf numFmtId="0" fontId="102" fillId="4" borderId="21" xfId="0" applyFont="1" applyFill="1" applyBorder="1" applyAlignment="1" applyProtection="1">
      <alignment horizontal="center" vertical="center" wrapText="1"/>
    </xf>
    <xf numFmtId="0" fontId="102" fillId="4" borderId="14" xfId="0" applyFont="1" applyFill="1" applyBorder="1" applyAlignment="1" applyProtection="1">
      <alignment horizontal="center" vertical="center" wrapText="1"/>
    </xf>
    <xf numFmtId="0" fontId="102" fillId="4" borderId="22" xfId="0" applyFont="1" applyFill="1" applyBorder="1" applyAlignment="1" applyProtection="1">
      <alignment horizontal="center" vertical="center" wrapText="1"/>
    </xf>
    <xf numFmtId="0" fontId="102" fillId="24" borderId="13" xfId="0" applyFont="1" applyFill="1" applyBorder="1" applyAlignment="1" applyProtection="1">
      <alignment horizontal="center" vertical="center" wrapText="1"/>
    </xf>
    <xf numFmtId="0" fontId="102" fillId="24" borderId="14" xfId="0" applyFont="1" applyFill="1" applyBorder="1" applyAlignment="1" applyProtection="1">
      <alignment horizontal="center" vertical="center" wrapText="1"/>
    </xf>
    <xf numFmtId="0" fontId="102" fillId="25" borderId="19" xfId="0" applyFont="1" applyFill="1" applyBorder="1" applyAlignment="1" applyProtection="1">
      <alignment horizontal="center" vertical="center" wrapText="1"/>
    </xf>
    <xf numFmtId="0" fontId="102" fillId="25" borderId="21" xfId="0" applyFont="1" applyFill="1" applyBorder="1" applyAlignment="1" applyProtection="1">
      <alignment horizontal="center" vertical="center" wrapText="1"/>
    </xf>
    <xf numFmtId="0" fontId="102" fillId="29" borderId="4" xfId="0" applyFont="1" applyFill="1" applyBorder="1" applyAlignment="1" applyProtection="1">
      <alignment horizontal="center" vertical="center" wrapText="1"/>
    </xf>
    <xf numFmtId="0" fontId="102" fillId="29" borderId="10" xfId="0" applyFont="1" applyFill="1" applyBorder="1" applyAlignment="1" applyProtection="1">
      <alignment horizontal="center" vertical="center" wrapText="1"/>
    </xf>
    <xf numFmtId="0" fontId="102" fillId="29" borderId="5" xfId="0" applyFont="1" applyFill="1" applyBorder="1" applyAlignment="1" applyProtection="1">
      <alignment horizontal="center" vertical="center" wrapText="1"/>
    </xf>
    <xf numFmtId="0" fontId="102" fillId="7" borderId="24" xfId="0" applyFont="1" applyFill="1" applyBorder="1" applyAlignment="1" applyProtection="1">
      <alignment horizontal="center" vertical="center" wrapText="1"/>
    </xf>
    <xf numFmtId="0" fontId="102" fillId="7" borderId="28" xfId="0" applyFont="1" applyFill="1" applyBorder="1" applyAlignment="1" applyProtection="1">
      <alignment horizontal="center" vertical="center" wrapText="1"/>
    </xf>
    <xf numFmtId="0" fontId="102" fillId="12" borderId="0" xfId="0" applyFont="1" applyFill="1" applyBorder="1" applyAlignment="1" applyProtection="1">
      <alignment horizontal="center" vertical="center" wrapText="1"/>
    </xf>
    <xf numFmtId="0" fontId="102" fillId="12" borderId="22" xfId="0" applyFont="1" applyFill="1" applyBorder="1" applyAlignment="1" applyProtection="1">
      <alignment horizontal="center" vertical="center" wrapText="1"/>
    </xf>
    <xf numFmtId="0" fontId="102" fillId="10" borderId="19" xfId="0" applyFont="1" applyFill="1" applyBorder="1" applyAlignment="1" applyProtection="1">
      <alignment horizontal="center" vertical="center" wrapText="1"/>
    </xf>
    <xf numFmtId="0" fontId="102" fillId="10" borderId="21" xfId="0" applyFont="1" applyFill="1" applyBorder="1" applyAlignment="1" applyProtection="1">
      <alignment horizontal="center" vertical="center" wrapText="1"/>
    </xf>
    <xf numFmtId="0" fontId="102" fillId="10" borderId="4" xfId="0" applyFont="1" applyFill="1" applyBorder="1" applyAlignment="1" applyProtection="1">
      <alignment horizontal="center" vertical="center" wrapText="1"/>
    </xf>
    <xf numFmtId="0" fontId="102" fillId="10" borderId="10" xfId="0" applyFont="1" applyFill="1" applyBorder="1" applyAlignment="1" applyProtection="1">
      <alignment horizontal="center" vertical="center" wrapText="1"/>
    </xf>
    <xf numFmtId="0" fontId="102" fillId="10" borderId="5" xfId="0" applyFont="1" applyFill="1" applyBorder="1" applyAlignment="1" applyProtection="1">
      <alignment horizontal="center" vertical="center" wrapText="1"/>
    </xf>
    <xf numFmtId="0" fontId="102" fillId="28" borderId="24" xfId="0" applyFont="1" applyFill="1" applyBorder="1" applyAlignment="1" applyProtection="1">
      <alignment horizontal="center" vertical="center" wrapText="1"/>
    </xf>
    <xf numFmtId="0" fontId="102" fillId="28" borderId="28" xfId="0" applyFont="1" applyFill="1" applyBorder="1" applyAlignment="1" applyProtection="1">
      <alignment horizontal="center" vertical="center" wrapText="1"/>
    </xf>
    <xf numFmtId="0" fontId="102" fillId="29" borderId="19" xfId="0" applyFont="1" applyFill="1" applyBorder="1" applyAlignment="1" applyProtection="1">
      <alignment horizontal="center" vertical="center" wrapText="1"/>
    </xf>
    <xf numFmtId="0" fontId="102" fillId="29" borderId="21" xfId="0" applyFont="1" applyFill="1" applyBorder="1" applyAlignment="1" applyProtection="1">
      <alignment horizontal="center" vertical="center" wrapText="1"/>
    </xf>
    <xf numFmtId="0" fontId="102" fillId="20" borderId="24" xfId="0" applyFont="1" applyFill="1" applyBorder="1" applyAlignment="1" applyProtection="1">
      <alignment horizontal="center" vertical="center" wrapText="1"/>
    </xf>
    <xf numFmtId="0" fontId="102" fillId="20" borderId="27" xfId="0" applyFont="1" applyFill="1" applyBorder="1" applyAlignment="1" applyProtection="1">
      <alignment horizontal="center" vertical="center" wrapText="1"/>
    </xf>
    <xf numFmtId="0" fontId="102" fillId="20" borderId="28" xfId="0" applyFont="1" applyFill="1" applyBorder="1" applyAlignment="1" applyProtection="1">
      <alignment horizontal="center" vertical="center" wrapText="1"/>
    </xf>
    <xf numFmtId="0" fontId="5" fillId="9" borderId="24" xfId="0" applyFont="1" applyFill="1" applyBorder="1" applyAlignment="1" applyProtection="1">
      <alignment horizontal="center" vertical="center" wrapText="1"/>
    </xf>
    <xf numFmtId="0" fontId="5" fillId="9" borderId="27" xfId="0" applyFont="1" applyFill="1" applyBorder="1" applyAlignment="1" applyProtection="1">
      <alignment horizontal="center" vertical="center" wrapText="1"/>
    </xf>
    <xf numFmtId="0" fontId="5" fillId="9" borderId="28" xfId="0" applyFont="1" applyFill="1" applyBorder="1" applyAlignment="1" applyProtection="1">
      <alignment horizontal="center" vertical="center" wrapText="1"/>
    </xf>
    <xf numFmtId="0" fontId="46" fillId="4" borderId="4" xfId="0" quotePrefix="1" applyFont="1" applyFill="1" applyBorder="1" applyAlignment="1" applyProtection="1">
      <alignment horizontal="center" vertical="center" wrapText="1"/>
    </xf>
    <xf numFmtId="0" fontId="46" fillId="4" borderId="5" xfId="0" quotePrefix="1" applyFont="1" applyFill="1" applyBorder="1" applyAlignment="1" applyProtection="1">
      <alignment horizontal="center" vertical="center" wrapText="1"/>
    </xf>
    <xf numFmtId="0" fontId="46" fillId="3" borderId="0" xfId="0" quotePrefix="1" applyFont="1" applyFill="1" applyBorder="1" applyAlignment="1" applyProtection="1">
      <alignment horizontal="left" vertical="center" wrapText="1"/>
    </xf>
    <xf numFmtId="0" fontId="46" fillId="3" borderId="35" xfId="0" quotePrefix="1" applyFont="1" applyFill="1" applyBorder="1" applyAlignment="1" applyProtection="1">
      <alignment horizontal="left" vertical="center" wrapText="1"/>
    </xf>
    <xf numFmtId="0" fontId="5" fillId="9" borderId="30" xfId="0" applyFont="1" applyFill="1" applyBorder="1" applyAlignment="1" applyProtection="1">
      <alignment horizontal="center" vertical="center" wrapText="1"/>
    </xf>
    <xf numFmtId="0" fontId="5" fillId="9" borderId="31" xfId="0" applyFont="1" applyFill="1" applyBorder="1" applyAlignment="1" applyProtection="1">
      <alignment horizontal="center" vertical="center" wrapText="1"/>
    </xf>
    <xf numFmtId="0" fontId="5" fillId="9" borderId="13" xfId="0" applyFont="1" applyFill="1" applyBorder="1" applyAlignment="1" applyProtection="1">
      <alignment horizontal="center" vertical="center" wrapText="1"/>
    </xf>
    <xf numFmtId="0" fontId="5" fillId="9" borderId="35" xfId="0" applyFont="1" applyFill="1" applyBorder="1" applyAlignment="1" applyProtection="1">
      <alignment horizontal="center" vertical="center" wrapText="1"/>
    </xf>
    <xf numFmtId="0" fontId="102" fillId="9" borderId="24" xfId="0" applyFont="1" applyFill="1" applyBorder="1" applyAlignment="1" applyProtection="1">
      <alignment horizontal="center" vertical="center" wrapText="1"/>
    </xf>
    <xf numFmtId="0" fontId="102" fillId="9" borderId="27" xfId="0" applyFont="1" applyFill="1" applyBorder="1" applyAlignment="1" applyProtection="1">
      <alignment horizontal="center" vertical="center" wrapText="1"/>
    </xf>
    <xf numFmtId="0" fontId="102" fillId="9" borderId="28" xfId="0" applyFont="1" applyFill="1" applyBorder="1" applyAlignment="1" applyProtection="1">
      <alignment horizontal="center" vertical="center" wrapText="1"/>
    </xf>
    <xf numFmtId="0" fontId="100" fillId="39" borderId="66" xfId="0" applyFont="1" applyFill="1" applyBorder="1" applyAlignment="1">
      <alignment horizontal="center" vertical="center" wrapText="1"/>
    </xf>
    <xf numFmtId="0" fontId="101" fillId="0" borderId="67" xfId="0" applyFont="1" applyBorder="1"/>
    <xf numFmtId="0" fontId="55" fillId="45" borderId="45" xfId="47" applyFont="1" applyFill="1" applyBorder="1" applyAlignment="1">
      <alignment horizontal="left" vertical="center" wrapText="1"/>
    </xf>
    <xf numFmtId="0" fontId="57" fillId="9" borderId="46" xfId="47" applyFont="1" applyFill="1" applyBorder="1"/>
    <xf numFmtId="0" fontId="57" fillId="9" borderId="47" xfId="47" applyFont="1" applyFill="1" applyBorder="1"/>
    <xf numFmtId="2" fontId="55" fillId="30" borderId="52" xfId="0" applyNumberFormat="1" applyFont="1" applyFill="1" applyBorder="1" applyAlignment="1">
      <alignment horizontal="left" vertical="center"/>
    </xf>
    <xf numFmtId="0" fontId="57" fillId="0" borderId="53" xfId="0" applyFont="1" applyBorder="1"/>
  </cellXfs>
  <cellStyles count="49">
    <cellStyle name="Comma0" xfId="4" xr:uid="{00000000-0005-0000-0000-000000000000}"/>
    <cellStyle name="Comma0 2" xfId="5" xr:uid="{00000000-0005-0000-0000-000001000000}"/>
    <cellStyle name="Comma0 2 2" xfId="6" xr:uid="{00000000-0005-0000-0000-000002000000}"/>
    <cellStyle name="Currency0" xfId="7" xr:uid="{00000000-0005-0000-0000-000003000000}"/>
    <cellStyle name="Currency0 2" xfId="8" xr:uid="{00000000-0005-0000-0000-000004000000}"/>
    <cellStyle name="Currency0 2 2" xfId="9" xr:uid="{00000000-0005-0000-0000-000005000000}"/>
    <cellStyle name="Date" xfId="10" xr:uid="{00000000-0005-0000-0000-000006000000}"/>
    <cellStyle name="Date 2" xfId="11" xr:uid="{00000000-0005-0000-0000-000007000000}"/>
    <cellStyle name="Date 2 2" xfId="12" xr:uid="{00000000-0005-0000-0000-000008000000}"/>
    <cellStyle name="Euro" xfId="13" xr:uid="{00000000-0005-0000-0000-000009000000}"/>
    <cellStyle name="Euro 2" xfId="14" xr:uid="{00000000-0005-0000-0000-00000A000000}"/>
    <cellStyle name="Euro 2 2" xfId="15" xr:uid="{00000000-0005-0000-0000-00000B000000}"/>
    <cellStyle name="Fixed" xfId="16" xr:uid="{00000000-0005-0000-0000-00000C000000}"/>
    <cellStyle name="Fixed 2" xfId="17" xr:uid="{00000000-0005-0000-0000-00000D000000}"/>
    <cellStyle name="Fixed 2 2" xfId="18" xr:uid="{00000000-0005-0000-0000-00000E000000}"/>
    <cellStyle name="Heading 1" xfId="19" xr:uid="{00000000-0005-0000-0000-00000F000000}"/>
    <cellStyle name="Heading 2" xfId="20" xr:uid="{00000000-0005-0000-0000-000010000000}"/>
    <cellStyle name="Hipervínculo 2" xfId="48" xr:uid="{00000000-0005-0000-0000-000011000000}"/>
    <cellStyle name="Millares" xfId="45" builtinId="3"/>
    <cellStyle name="Millares 2" xfId="3" xr:uid="{00000000-0005-0000-0000-000013000000}"/>
    <cellStyle name="Millares 2 2" xfId="21" xr:uid="{00000000-0005-0000-0000-000014000000}"/>
    <cellStyle name="Normal" xfId="0" builtinId="0"/>
    <cellStyle name="Normal 2" xfId="1" xr:uid="{00000000-0005-0000-0000-000016000000}"/>
    <cellStyle name="Normal 2 2" xfId="22" xr:uid="{00000000-0005-0000-0000-000017000000}"/>
    <cellStyle name="Normal 2 3" xfId="23" xr:uid="{00000000-0005-0000-0000-000018000000}"/>
    <cellStyle name="Normal 2 4" xfId="24" xr:uid="{00000000-0005-0000-0000-000019000000}"/>
    <cellStyle name="Normal 2 5" xfId="25" xr:uid="{00000000-0005-0000-0000-00001A000000}"/>
    <cellStyle name="Normal 2 6" xfId="44" xr:uid="{00000000-0005-0000-0000-00001B000000}"/>
    <cellStyle name="Normal 3" xfId="2" xr:uid="{00000000-0005-0000-0000-00001C000000}"/>
    <cellStyle name="Normal 3 2" xfId="26" xr:uid="{00000000-0005-0000-0000-00001D000000}"/>
    <cellStyle name="Normal 3 3" xfId="27" xr:uid="{00000000-0005-0000-0000-00001E000000}"/>
    <cellStyle name="Normal 4" xfId="28" xr:uid="{00000000-0005-0000-0000-00001F000000}"/>
    <cellStyle name="Normal 4 2" xfId="29" xr:uid="{00000000-0005-0000-0000-000020000000}"/>
    <cellStyle name="Normal 5" xfId="30" xr:uid="{00000000-0005-0000-0000-000021000000}"/>
    <cellStyle name="Normal 6" xfId="31" xr:uid="{00000000-0005-0000-0000-000022000000}"/>
    <cellStyle name="Normal 7" xfId="32" xr:uid="{00000000-0005-0000-0000-000023000000}"/>
    <cellStyle name="Normal 8" xfId="47" xr:uid="{00000000-0005-0000-0000-000024000000}"/>
    <cellStyle name="Porcentaje" xfId="46" builtinId="5"/>
    <cellStyle name="Porcentaje 2" xfId="33" xr:uid="{00000000-0005-0000-0000-000026000000}"/>
    <cellStyle name="Porcentaje 2 2" xfId="34" xr:uid="{00000000-0005-0000-0000-000027000000}"/>
    <cellStyle name="Porcentaje 2 3" xfId="35" xr:uid="{00000000-0005-0000-0000-000028000000}"/>
    <cellStyle name="Porcentaje 3" xfId="36" xr:uid="{00000000-0005-0000-0000-000029000000}"/>
    <cellStyle name="Porcentaje 4" xfId="37" xr:uid="{00000000-0005-0000-0000-00002A000000}"/>
    <cellStyle name="Porcentaje 5" xfId="38" xr:uid="{00000000-0005-0000-0000-00002B000000}"/>
    <cellStyle name="Porcentaje 6" xfId="39" xr:uid="{00000000-0005-0000-0000-00002C000000}"/>
    <cellStyle name="Porcentaje 7" xfId="40" xr:uid="{00000000-0005-0000-0000-00002D000000}"/>
    <cellStyle name="Total 2" xfId="41" xr:uid="{00000000-0005-0000-0000-00002E000000}"/>
    <cellStyle name="Total 2 2" xfId="42" xr:uid="{00000000-0005-0000-0000-00002F000000}"/>
    <cellStyle name="Total 3" xfId="43" xr:uid="{00000000-0005-0000-0000-000030000000}"/>
  </cellStyles>
  <dxfs count="1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theme="1"/>
      </font>
      <fill>
        <patternFill>
          <bgColor rgb="FFFFC000"/>
        </patternFill>
      </fill>
    </dxf>
    <dxf>
      <font>
        <color auto="1"/>
      </font>
      <fill>
        <patternFill>
          <bgColor rgb="FFFFC000"/>
        </patternFill>
      </fill>
    </dxf>
    <dxf>
      <font>
        <color auto="1"/>
      </font>
      <fill>
        <patternFill>
          <bgColor rgb="FFFFC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B050"/>
      </font>
    </dxf>
    <dxf>
      <font>
        <color rgb="FF9C0006"/>
      </font>
    </dxf>
    <dxf>
      <font>
        <color rgb="FF00B050"/>
      </font>
    </dxf>
  </dxfs>
  <tableStyles count="0" defaultTableStyle="TableStyleMedium2" defaultPivotStyle="PivotStyleLight16"/>
  <colors>
    <mruColors>
      <color rgb="FF33CC33"/>
      <color rgb="FF00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731763</xdr:colOff>
      <xdr:row>90</xdr:row>
      <xdr:rowOff>54429</xdr:rowOff>
    </xdr:from>
    <xdr:to>
      <xdr:col>20</xdr:col>
      <xdr:colOff>725715</xdr:colOff>
      <xdr:row>108</xdr:row>
      <xdr:rowOff>89203</xdr:rowOff>
    </xdr:to>
    <xdr:pic>
      <xdr:nvPicPr>
        <xdr:cNvPr id="2" name="Imagen 1">
          <a:extLst>
            <a:ext uri="{FF2B5EF4-FFF2-40B4-BE49-F238E27FC236}">
              <a16:creationId xmlns:a16="http://schemas.microsoft.com/office/drawing/2014/main" id="{C26E00C4-E3B8-411B-ADA6-B2BA09B21EA6}"/>
            </a:ext>
          </a:extLst>
        </xdr:cNvPr>
        <xdr:cNvPicPr>
          <a:picLocks noChangeAspect="1"/>
        </xdr:cNvPicPr>
      </xdr:nvPicPr>
      <xdr:blipFill rotWithShape="1">
        <a:blip xmlns:r="http://schemas.openxmlformats.org/officeDocument/2006/relationships" r:embed="rId1"/>
        <a:srcRect l="20420" t="23151" r="22875" b="13039"/>
        <a:stretch/>
      </xdr:blipFill>
      <xdr:spPr>
        <a:xfrm>
          <a:off x="19319120" y="16818429"/>
          <a:ext cx="6851952" cy="46748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mobility.uy/precios-y-financiacion/"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impo.com.uy/bases/leyes/19161-2013" TargetMode="External"/><Relationship Id="rId2" Type="http://schemas.openxmlformats.org/officeDocument/2006/relationships/hyperlink" Target="http://www.inmujeres.gub.uy/75652/modelo-de-calidad-con-equidad-de-genero" TargetMode="External"/><Relationship Id="rId1" Type="http://schemas.openxmlformats.org/officeDocument/2006/relationships/hyperlink" Target="https://www.mtss.gub.uy/web/mtss/acoso-sexual;" TargetMode="External"/><Relationship Id="rId5" Type="http://schemas.openxmlformats.org/officeDocument/2006/relationships/printerSettings" Target="../printerSettings/printerSettings5.bin"/><Relationship Id="rId4" Type="http://schemas.openxmlformats.org/officeDocument/2006/relationships/hyperlink" Target="https://www.impo.com.uy/bases/leyes/18104-20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AD77"/>
  <sheetViews>
    <sheetView tabSelected="1" zoomScale="80" zoomScaleNormal="80" workbookViewId="0">
      <pane xSplit="5" topLeftCell="F1" activePane="topRight" state="frozen"/>
      <selection pane="topRight" activeCell="B2" sqref="B2"/>
    </sheetView>
  </sheetViews>
  <sheetFormatPr baseColWidth="10" defaultColWidth="14.42578125" defaultRowHeight="15" customHeight="1" x14ac:dyDescent="0.2"/>
  <cols>
    <col min="1" max="1" width="1.5703125" style="159" customWidth="1"/>
    <col min="2" max="2" width="26.7109375" style="159" customWidth="1"/>
    <col min="3" max="3" width="20.85546875" style="159" customWidth="1"/>
    <col min="4" max="4" width="18.28515625" style="159" customWidth="1"/>
    <col min="5" max="5" width="30.42578125" style="159" customWidth="1"/>
    <col min="6" max="6" width="20.7109375" style="159" customWidth="1"/>
    <col min="7" max="7" width="15.7109375" style="159" customWidth="1"/>
    <col min="8" max="8" width="25.7109375" style="159" customWidth="1"/>
    <col min="9" max="9" width="10.7109375" style="159" customWidth="1"/>
    <col min="10" max="11" width="13.28515625" style="159" customWidth="1"/>
    <col min="12" max="12" width="11.7109375" style="159" customWidth="1"/>
    <col min="13" max="13" width="12" style="159" customWidth="1"/>
    <col min="14" max="14" width="14.140625" style="159" customWidth="1"/>
    <col min="15" max="16" width="10.7109375" style="159" customWidth="1"/>
    <col min="17" max="17" width="12" style="159" customWidth="1"/>
    <col min="18" max="18" width="13" style="159" customWidth="1"/>
    <col min="19" max="20" width="10.7109375" style="159" customWidth="1"/>
    <col min="21" max="21" width="11.85546875" style="159" customWidth="1"/>
    <col min="22" max="22" width="13.5703125" style="159" customWidth="1"/>
    <col min="23" max="24" width="10.7109375" style="159" customWidth="1"/>
    <col min="25" max="25" width="12.5703125" style="159" customWidth="1"/>
    <col min="26" max="26" width="13.5703125" style="159" customWidth="1"/>
    <col min="27" max="29" width="10.7109375" style="159" customWidth="1"/>
    <col min="30" max="16384" width="14.42578125" style="159"/>
  </cols>
  <sheetData>
    <row r="1" spans="1:30" ht="9.75" customHeight="1" x14ac:dyDescent="0.25">
      <c r="A1" s="190"/>
      <c r="B1" s="191"/>
      <c r="C1" s="191"/>
      <c r="D1" s="191"/>
      <c r="E1" s="191"/>
      <c r="F1" s="731"/>
      <c r="G1" s="731"/>
      <c r="H1" s="158"/>
      <c r="I1" s="158"/>
      <c r="J1" s="155"/>
      <c r="K1" s="155"/>
      <c r="L1" s="155"/>
      <c r="M1" s="158"/>
      <c r="N1" s="158"/>
      <c r="O1" s="158"/>
      <c r="P1" s="158"/>
      <c r="Q1" s="158"/>
      <c r="R1" s="158"/>
      <c r="S1" s="158"/>
      <c r="T1" s="158"/>
      <c r="U1" s="158"/>
      <c r="V1" s="158"/>
      <c r="W1" s="155"/>
      <c r="X1" s="155"/>
      <c r="Y1" s="155"/>
      <c r="Z1" s="155"/>
      <c r="AA1" s="155"/>
      <c r="AB1" s="155"/>
      <c r="AC1" s="155"/>
    </row>
    <row r="2" spans="1:30" ht="21" x14ac:dyDescent="0.35">
      <c r="A2" s="192"/>
      <c r="B2" s="160" t="s">
        <v>286</v>
      </c>
      <c r="C2" s="160"/>
      <c r="D2" s="160"/>
      <c r="E2" s="160"/>
      <c r="F2" s="160"/>
      <c r="G2" s="160"/>
      <c r="H2" s="160"/>
      <c r="I2" s="160"/>
      <c r="J2" s="160"/>
      <c r="K2" s="160"/>
      <c r="L2" s="193"/>
      <c r="M2" s="193"/>
      <c r="N2" s="162"/>
      <c r="O2" s="162"/>
      <c r="P2" s="162"/>
      <c r="Q2" s="193"/>
      <c r="R2" s="193"/>
      <c r="S2" s="193"/>
      <c r="T2" s="193"/>
      <c r="U2" s="193"/>
      <c r="V2" s="193"/>
      <c r="W2" s="193"/>
      <c r="X2" s="193"/>
      <c r="Y2" s="193"/>
      <c r="Z2" s="193"/>
      <c r="AA2" s="193"/>
      <c r="AB2" s="193"/>
      <c r="AC2" s="193"/>
      <c r="AD2" s="193"/>
    </row>
    <row r="3" spans="1:30" ht="6" customHeight="1" x14ac:dyDescent="0.25">
      <c r="A3" s="194"/>
      <c r="B3" s="195"/>
      <c r="C3" s="195"/>
      <c r="D3" s="195"/>
      <c r="E3" s="195"/>
      <c r="F3" s="195"/>
      <c r="G3" s="195"/>
      <c r="H3" s="196"/>
      <c r="I3" s="196"/>
      <c r="J3" s="196"/>
      <c r="K3" s="196"/>
      <c r="L3" s="196"/>
      <c r="M3" s="196"/>
      <c r="N3" s="196"/>
      <c r="O3" s="196"/>
      <c r="P3" s="196"/>
      <c r="Q3" s="196"/>
      <c r="R3" s="196"/>
      <c r="S3" s="196"/>
      <c r="T3" s="196"/>
      <c r="U3" s="196"/>
      <c r="V3" s="196"/>
      <c r="W3" s="196"/>
      <c r="X3" s="196"/>
      <c r="Y3" s="196"/>
      <c r="Z3" s="196"/>
      <c r="AA3" s="196"/>
      <c r="AB3" s="196"/>
      <c r="AC3" s="196"/>
      <c r="AD3" s="223"/>
    </row>
    <row r="4" spans="1:30" ht="18.75" x14ac:dyDescent="0.3">
      <c r="A4" s="197"/>
      <c r="B4" s="198" t="s">
        <v>287</v>
      </c>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223"/>
    </row>
    <row r="5" spans="1:30" ht="6" customHeight="1" x14ac:dyDescent="0.25">
      <c r="A5" s="194"/>
      <c r="B5" s="195"/>
      <c r="C5" s="195"/>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223"/>
    </row>
    <row r="6" spans="1:30" ht="15.75" x14ac:dyDescent="0.25">
      <c r="A6" s="194"/>
      <c r="B6" s="158" t="s">
        <v>288</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223"/>
    </row>
    <row r="7" spans="1:30" ht="6" customHeight="1" thickBot="1" x14ac:dyDescent="0.3">
      <c r="A7" s="194"/>
      <c r="B7" s="195"/>
      <c r="C7" s="195"/>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223"/>
    </row>
    <row r="8" spans="1:30" ht="15.95" customHeight="1" x14ac:dyDescent="0.3">
      <c r="A8" s="194"/>
      <c r="B8" s="509" t="s">
        <v>289</v>
      </c>
      <c r="C8" s="355" t="s">
        <v>532</v>
      </c>
      <c r="D8" s="356"/>
      <c r="E8" s="356"/>
      <c r="F8" s="356"/>
      <c r="G8" s="356"/>
      <c r="H8" s="356"/>
      <c r="I8" s="356"/>
      <c r="J8" s="356"/>
      <c r="K8" s="356"/>
      <c r="L8" s="356"/>
      <c r="M8" s="356"/>
      <c r="N8" s="356"/>
      <c r="O8" s="356"/>
      <c r="P8" s="356"/>
      <c r="Q8" s="356"/>
      <c r="R8" s="356"/>
      <c r="S8" s="356"/>
      <c r="T8" s="357"/>
      <c r="U8" s="158"/>
      <c r="V8" s="158"/>
      <c r="W8" s="158"/>
      <c r="X8" s="158"/>
      <c r="Y8" s="158"/>
      <c r="Z8" s="158"/>
      <c r="AA8" s="158"/>
      <c r="AB8" s="158"/>
      <c r="AC8" s="158"/>
      <c r="AD8" s="223"/>
    </row>
    <row r="9" spans="1:30" ht="15.95" customHeight="1" x14ac:dyDescent="0.25">
      <c r="A9" s="194"/>
      <c r="B9" s="358"/>
      <c r="C9" s="749" t="s">
        <v>553</v>
      </c>
      <c r="D9" s="749"/>
      <c r="E9" s="749"/>
      <c r="F9" s="749"/>
      <c r="G9" s="749"/>
      <c r="H9" s="749"/>
      <c r="I9" s="749"/>
      <c r="J9" s="749"/>
      <c r="K9" s="749"/>
      <c r="L9" s="749"/>
      <c r="M9" s="749"/>
      <c r="N9" s="749"/>
      <c r="O9" s="749"/>
      <c r="P9" s="749"/>
      <c r="Q9" s="749"/>
      <c r="R9" s="749"/>
      <c r="S9" s="749"/>
      <c r="T9" s="750"/>
      <c r="U9" s="158"/>
      <c r="V9" s="158"/>
      <c r="W9" s="158"/>
      <c r="X9" s="158"/>
      <c r="Y9" s="158"/>
      <c r="Z9" s="158"/>
      <c r="AA9" s="158"/>
      <c r="AB9" s="158"/>
      <c r="AC9" s="158"/>
      <c r="AD9" s="223"/>
    </row>
    <row r="10" spans="1:30" ht="48" customHeight="1" thickBot="1" x14ac:dyDescent="0.3">
      <c r="A10" s="194"/>
      <c r="B10" s="360"/>
      <c r="C10" s="762" t="s">
        <v>562</v>
      </c>
      <c r="D10" s="762"/>
      <c r="E10" s="762"/>
      <c r="F10" s="762"/>
      <c r="G10" s="762"/>
      <c r="H10" s="762"/>
      <c r="I10" s="762"/>
      <c r="J10" s="762"/>
      <c r="K10" s="762"/>
      <c r="L10" s="762"/>
      <c r="M10" s="762"/>
      <c r="N10" s="762"/>
      <c r="O10" s="762"/>
      <c r="P10" s="762"/>
      <c r="Q10" s="762"/>
      <c r="R10" s="762"/>
      <c r="S10" s="762"/>
      <c r="T10" s="763"/>
      <c r="U10" s="158"/>
      <c r="V10" s="158"/>
      <c r="W10" s="158"/>
      <c r="X10" s="158"/>
      <c r="Y10" s="158"/>
      <c r="Z10" s="158"/>
      <c r="AA10" s="158"/>
      <c r="AB10" s="158"/>
      <c r="AC10" s="158"/>
      <c r="AD10" s="223"/>
    </row>
    <row r="11" spans="1:30" ht="6" customHeight="1" x14ac:dyDescent="0.25">
      <c r="A11" s="194"/>
      <c r="B11" s="195"/>
      <c r="C11" s="195"/>
      <c r="D11" s="195"/>
      <c r="E11" s="195"/>
      <c r="F11" s="195"/>
      <c r="G11" s="195"/>
      <c r="H11" s="196"/>
      <c r="I11" s="196"/>
      <c r="J11" s="196"/>
      <c r="K11" s="196"/>
      <c r="L11" s="196"/>
      <c r="M11" s="196"/>
      <c r="N11" s="196"/>
      <c r="O11" s="196"/>
      <c r="P11" s="196"/>
      <c r="Q11" s="196"/>
      <c r="R11" s="196"/>
      <c r="S11" s="196"/>
      <c r="T11" s="196"/>
      <c r="U11" s="196"/>
      <c r="V11" s="196"/>
      <c r="W11" s="196"/>
      <c r="X11" s="196"/>
      <c r="Y11" s="196"/>
      <c r="Z11" s="196"/>
      <c r="AA11" s="196"/>
      <c r="AB11" s="196"/>
      <c r="AC11" s="196"/>
      <c r="AD11" s="223"/>
    </row>
    <row r="12" spans="1:30" ht="41.25" customHeight="1" x14ac:dyDescent="0.2">
      <c r="A12" s="200"/>
      <c r="B12" s="761" t="s">
        <v>531</v>
      </c>
      <c r="C12" s="761"/>
      <c r="D12" s="699" t="s">
        <v>17</v>
      </c>
      <c r="E12" s="201"/>
      <c r="F12" s="201"/>
      <c r="G12" s="202" t="s">
        <v>494</v>
      </c>
      <c r="H12" s="203"/>
      <c r="I12" s="203"/>
      <c r="J12" s="203"/>
      <c r="K12" s="203"/>
      <c r="L12" s="203"/>
      <c r="M12" s="204"/>
      <c r="N12" s="204"/>
      <c r="O12" s="204"/>
      <c r="P12" s="204"/>
      <c r="Q12" s="204"/>
      <c r="R12" s="204"/>
      <c r="S12" s="204"/>
      <c r="T12" s="204"/>
      <c r="U12" s="204"/>
      <c r="V12" s="204"/>
      <c r="W12" s="204"/>
      <c r="X12" s="204"/>
      <c r="Y12" s="204"/>
      <c r="Z12" s="204"/>
      <c r="AA12" s="204"/>
      <c r="AB12" s="204"/>
      <c r="AC12" s="205"/>
      <c r="AD12" s="224"/>
    </row>
    <row r="13" spans="1:30" ht="29.25" customHeight="1" x14ac:dyDescent="0.2">
      <c r="A13" s="206"/>
      <c r="B13" s="207"/>
      <c r="C13" s="207"/>
      <c r="D13" s="207"/>
      <c r="E13" s="207"/>
      <c r="F13" s="207"/>
      <c r="G13" s="764" t="s">
        <v>290</v>
      </c>
      <c r="H13" s="764"/>
      <c r="I13" s="764"/>
      <c r="J13" s="765"/>
      <c r="K13" s="756" t="s">
        <v>291</v>
      </c>
      <c r="L13" s="757"/>
      <c r="M13" s="758"/>
      <c r="N13" s="756" t="s">
        <v>292</v>
      </c>
      <c r="O13" s="759"/>
      <c r="P13" s="759"/>
      <c r="Q13" s="760"/>
      <c r="R13" s="756" t="s">
        <v>293</v>
      </c>
      <c r="S13" s="759"/>
      <c r="T13" s="759"/>
      <c r="U13" s="760"/>
      <c r="V13" s="756" t="s">
        <v>294</v>
      </c>
      <c r="W13" s="759"/>
      <c r="X13" s="759"/>
      <c r="Y13" s="760"/>
      <c r="Z13" s="756" t="s">
        <v>295</v>
      </c>
      <c r="AA13" s="759"/>
      <c r="AB13" s="759"/>
      <c r="AC13" s="760"/>
      <c r="AD13" s="751" t="s">
        <v>201</v>
      </c>
    </row>
    <row r="14" spans="1:30" ht="45" x14ac:dyDescent="0.2">
      <c r="A14" s="206"/>
      <c r="B14" s="354" t="s">
        <v>456</v>
      </c>
      <c r="C14" s="354" t="s">
        <v>457</v>
      </c>
      <c r="D14" s="732" t="s">
        <v>454</v>
      </c>
      <c r="E14" s="734" t="s">
        <v>555</v>
      </c>
      <c r="F14" s="738" t="s">
        <v>19</v>
      </c>
      <c r="G14" s="734" t="s">
        <v>554</v>
      </c>
      <c r="H14" s="730" t="s">
        <v>200</v>
      </c>
      <c r="I14" s="208" t="s">
        <v>296</v>
      </c>
      <c r="J14" s="208" t="s">
        <v>160</v>
      </c>
      <c r="K14" s="208" t="s">
        <v>312</v>
      </c>
      <c r="L14" s="208" t="s">
        <v>296</v>
      </c>
      <c r="M14" s="208" t="s">
        <v>160</v>
      </c>
      <c r="N14" s="209" t="s">
        <v>297</v>
      </c>
      <c r="O14" s="208" t="s">
        <v>10</v>
      </c>
      <c r="P14" s="208" t="s">
        <v>90</v>
      </c>
      <c r="Q14" s="208" t="s">
        <v>160</v>
      </c>
      <c r="R14" s="209" t="s">
        <v>84</v>
      </c>
      <c r="S14" s="208" t="s">
        <v>10</v>
      </c>
      <c r="T14" s="208" t="s">
        <v>298</v>
      </c>
      <c r="U14" s="208" t="s">
        <v>160</v>
      </c>
      <c r="V14" s="209" t="s">
        <v>299</v>
      </c>
      <c r="W14" s="208" t="s">
        <v>10</v>
      </c>
      <c r="X14" s="208" t="s">
        <v>298</v>
      </c>
      <c r="Y14" s="208" t="s">
        <v>160</v>
      </c>
      <c r="Z14" s="209" t="s">
        <v>300</v>
      </c>
      <c r="AA14" s="208" t="s">
        <v>10</v>
      </c>
      <c r="AB14" s="208" t="s">
        <v>298</v>
      </c>
      <c r="AC14" s="208" t="s">
        <v>160</v>
      </c>
      <c r="AD14" s="752"/>
    </row>
    <row r="15" spans="1:30" ht="24.75" customHeight="1" x14ac:dyDescent="0.2">
      <c r="A15" s="200"/>
      <c r="B15" s="422"/>
      <c r="C15" s="422"/>
      <c r="D15" s="737">
        <v>1</v>
      </c>
      <c r="E15" s="740"/>
      <c r="F15" s="739" t="s">
        <v>17</v>
      </c>
      <c r="G15" s="733"/>
      <c r="H15" s="700" t="s">
        <v>17</v>
      </c>
      <c r="I15" s="701"/>
      <c r="J15" s="210">
        <f t="shared" ref="J15:J34" si="0">+I15*$P$56</f>
        <v>0</v>
      </c>
      <c r="K15" s="700" t="s">
        <v>17</v>
      </c>
      <c r="L15" s="702"/>
      <c r="M15" s="210">
        <f t="shared" ref="M15:M34" si="1">+L15*$P$56</f>
        <v>0</v>
      </c>
      <c r="N15" s="700" t="s">
        <v>17</v>
      </c>
      <c r="O15" s="422"/>
      <c r="P15" s="211" t="str">
        <f t="shared" ref="P15:P34" si="2">+IF(N15="Seleccione","",VLOOKUP(N15,$M$42:$N$74,2,FALSE))</f>
        <v/>
      </c>
      <c r="Q15" s="210">
        <f t="shared" ref="Q15:Q34" si="3">+IF(O15="",0,O15*VLOOKUP(N15,$M$40:$P$70,4,FALSE))</f>
        <v>0</v>
      </c>
      <c r="R15" s="700" t="s">
        <v>17</v>
      </c>
      <c r="S15" s="422"/>
      <c r="T15" s="211" t="str">
        <f t="shared" ref="T15:T34" si="4">+IF(R15="Seleccione","",VLOOKUP(R15,$M$42:$N$74,2,FALSE))</f>
        <v/>
      </c>
      <c r="U15" s="210">
        <f t="shared" ref="U15:U34" si="5">+IF(S15="",0,S15*VLOOKUP(R15,$M$40:$P$70,4,FALSE))</f>
        <v>0</v>
      </c>
      <c r="V15" s="700" t="s">
        <v>17</v>
      </c>
      <c r="W15" s="422"/>
      <c r="X15" s="211" t="str">
        <f t="shared" ref="X15:X34" si="6">+IF(V15="Seleccione","",VLOOKUP(V15,$M$42:$N$74,2,FALSE))</f>
        <v/>
      </c>
      <c r="Y15" s="210">
        <f t="shared" ref="Y15:Y34" si="7">+IF(W15="",0,W15*VLOOKUP(V15,$M$40:$P$70,4,FALSE))</f>
        <v>0</v>
      </c>
      <c r="Z15" s="700" t="s">
        <v>17</v>
      </c>
      <c r="AA15" s="422"/>
      <c r="AB15" s="211" t="str">
        <f t="shared" ref="AB15:AB34" si="8">+IF(Z15="Seleccione","",VLOOKUP(Z15,$M$42:$N$74,2,FALSE))</f>
        <v/>
      </c>
      <c r="AC15" s="210">
        <f t="shared" ref="AC15:AC34" si="9">+IF(AA15="",0,AA15*VLOOKUP(Z15,$M$40:$P$70,4,FALSE))</f>
        <v>0</v>
      </c>
      <c r="AD15" s="212">
        <f t="shared" ref="AD15:AD34" si="10">+SUM(J15,M15,Q15,U15,Y15,AC15)</f>
        <v>0</v>
      </c>
    </row>
    <row r="16" spans="1:30" ht="24.75" customHeight="1" x14ac:dyDescent="0.2">
      <c r="A16" s="200"/>
      <c r="B16" s="698">
        <f>B15</f>
        <v>0</v>
      </c>
      <c r="C16" s="698">
        <f>C15</f>
        <v>0</v>
      </c>
      <c r="D16" s="737">
        <v>2</v>
      </c>
      <c r="E16" s="740"/>
      <c r="F16" s="739" t="s">
        <v>17</v>
      </c>
      <c r="G16" s="422"/>
      <c r="H16" s="700" t="s">
        <v>17</v>
      </c>
      <c r="I16" s="701"/>
      <c r="J16" s="210">
        <f t="shared" si="0"/>
        <v>0</v>
      </c>
      <c r="K16" s="700" t="s">
        <v>17</v>
      </c>
      <c r="L16" s="702"/>
      <c r="M16" s="210">
        <f t="shared" si="1"/>
        <v>0</v>
      </c>
      <c r="N16" s="700" t="s">
        <v>17</v>
      </c>
      <c r="O16" s="422"/>
      <c r="P16" s="211" t="str">
        <f t="shared" si="2"/>
        <v/>
      </c>
      <c r="Q16" s="210">
        <f t="shared" si="3"/>
        <v>0</v>
      </c>
      <c r="R16" s="700" t="s">
        <v>17</v>
      </c>
      <c r="S16" s="422"/>
      <c r="T16" s="211" t="str">
        <f t="shared" si="4"/>
        <v/>
      </c>
      <c r="U16" s="210">
        <f t="shared" si="5"/>
        <v>0</v>
      </c>
      <c r="V16" s="700" t="s">
        <v>17</v>
      </c>
      <c r="W16" s="422"/>
      <c r="X16" s="211" t="str">
        <f t="shared" si="6"/>
        <v/>
      </c>
      <c r="Y16" s="210">
        <f t="shared" si="7"/>
        <v>0</v>
      </c>
      <c r="Z16" s="700" t="s">
        <v>17</v>
      </c>
      <c r="AA16" s="422"/>
      <c r="AB16" s="211" t="str">
        <f t="shared" si="8"/>
        <v/>
      </c>
      <c r="AC16" s="210">
        <f t="shared" si="9"/>
        <v>0</v>
      </c>
      <c r="AD16" s="212">
        <f t="shared" si="10"/>
        <v>0</v>
      </c>
    </row>
    <row r="17" spans="1:30" ht="24.75" customHeight="1" x14ac:dyDescent="0.2">
      <c r="A17" s="200"/>
      <c r="B17" s="698">
        <f t="shared" ref="B17:B34" si="11">B16</f>
        <v>0</v>
      </c>
      <c r="C17" s="698">
        <f t="shared" ref="C17:C34" si="12">C16</f>
        <v>0</v>
      </c>
      <c r="D17" s="737">
        <v>3</v>
      </c>
      <c r="E17" s="740"/>
      <c r="F17" s="739" t="s">
        <v>17</v>
      </c>
      <c r="G17" s="422"/>
      <c r="H17" s="700" t="s">
        <v>17</v>
      </c>
      <c r="I17" s="701"/>
      <c r="J17" s="210">
        <f t="shared" si="0"/>
        <v>0</v>
      </c>
      <c r="K17" s="700" t="s">
        <v>17</v>
      </c>
      <c r="L17" s="702"/>
      <c r="M17" s="210">
        <f t="shared" si="1"/>
        <v>0</v>
      </c>
      <c r="N17" s="700" t="s">
        <v>17</v>
      </c>
      <c r="O17" s="422"/>
      <c r="P17" s="211" t="str">
        <f t="shared" si="2"/>
        <v/>
      </c>
      <c r="Q17" s="210">
        <f t="shared" si="3"/>
        <v>0</v>
      </c>
      <c r="R17" s="700" t="s">
        <v>17</v>
      </c>
      <c r="S17" s="422"/>
      <c r="T17" s="211" t="str">
        <f t="shared" si="4"/>
        <v/>
      </c>
      <c r="U17" s="210">
        <f t="shared" si="5"/>
        <v>0</v>
      </c>
      <c r="V17" s="700" t="s">
        <v>17</v>
      </c>
      <c r="W17" s="422"/>
      <c r="X17" s="211" t="str">
        <f t="shared" si="6"/>
        <v/>
      </c>
      <c r="Y17" s="210">
        <f t="shared" si="7"/>
        <v>0</v>
      </c>
      <c r="Z17" s="700" t="s">
        <v>17</v>
      </c>
      <c r="AA17" s="422"/>
      <c r="AB17" s="211" t="str">
        <f t="shared" si="8"/>
        <v/>
      </c>
      <c r="AC17" s="210">
        <f t="shared" si="9"/>
        <v>0</v>
      </c>
      <c r="AD17" s="212">
        <f t="shared" si="10"/>
        <v>0</v>
      </c>
    </row>
    <row r="18" spans="1:30" ht="24.75" customHeight="1" x14ac:dyDescent="0.2">
      <c r="A18" s="200"/>
      <c r="B18" s="698">
        <f t="shared" si="11"/>
        <v>0</v>
      </c>
      <c r="C18" s="698">
        <f t="shared" si="12"/>
        <v>0</v>
      </c>
      <c r="D18" s="737">
        <v>4</v>
      </c>
      <c r="E18" s="740"/>
      <c r="F18" s="739" t="s">
        <v>17</v>
      </c>
      <c r="G18" s="422"/>
      <c r="H18" s="700" t="s">
        <v>17</v>
      </c>
      <c r="I18" s="701"/>
      <c r="J18" s="210">
        <f t="shared" si="0"/>
        <v>0</v>
      </c>
      <c r="K18" s="700" t="s">
        <v>17</v>
      </c>
      <c r="L18" s="702"/>
      <c r="M18" s="210">
        <f t="shared" si="1"/>
        <v>0</v>
      </c>
      <c r="N18" s="700" t="s">
        <v>17</v>
      </c>
      <c r="O18" s="422"/>
      <c r="P18" s="211" t="str">
        <f t="shared" si="2"/>
        <v/>
      </c>
      <c r="Q18" s="210">
        <f t="shared" si="3"/>
        <v>0</v>
      </c>
      <c r="R18" s="700" t="s">
        <v>17</v>
      </c>
      <c r="S18" s="422"/>
      <c r="T18" s="211" t="str">
        <f t="shared" si="4"/>
        <v/>
      </c>
      <c r="U18" s="210">
        <f t="shared" si="5"/>
        <v>0</v>
      </c>
      <c r="V18" s="700" t="s">
        <v>17</v>
      </c>
      <c r="W18" s="422"/>
      <c r="X18" s="211" t="str">
        <f t="shared" si="6"/>
        <v/>
      </c>
      <c r="Y18" s="210">
        <f t="shared" si="7"/>
        <v>0</v>
      </c>
      <c r="Z18" s="700" t="s">
        <v>17</v>
      </c>
      <c r="AA18" s="422"/>
      <c r="AB18" s="211" t="str">
        <f t="shared" si="8"/>
        <v/>
      </c>
      <c r="AC18" s="210">
        <f t="shared" si="9"/>
        <v>0</v>
      </c>
      <c r="AD18" s="212">
        <f t="shared" si="10"/>
        <v>0</v>
      </c>
    </row>
    <row r="19" spans="1:30" ht="24.75" customHeight="1" x14ac:dyDescent="0.25">
      <c r="A19" s="213"/>
      <c r="B19" s="698">
        <f t="shared" si="11"/>
        <v>0</v>
      </c>
      <c r="C19" s="698">
        <f t="shared" si="12"/>
        <v>0</v>
      </c>
      <c r="D19" s="737">
        <v>5</v>
      </c>
      <c r="E19" s="740"/>
      <c r="F19" s="739" t="s">
        <v>17</v>
      </c>
      <c r="G19" s="422"/>
      <c r="H19" s="700" t="s">
        <v>17</v>
      </c>
      <c r="I19" s="701"/>
      <c r="J19" s="210">
        <f t="shared" si="0"/>
        <v>0</v>
      </c>
      <c r="K19" s="700" t="s">
        <v>17</v>
      </c>
      <c r="L19" s="702"/>
      <c r="M19" s="210">
        <f t="shared" si="1"/>
        <v>0</v>
      </c>
      <c r="N19" s="700" t="s">
        <v>17</v>
      </c>
      <c r="O19" s="422"/>
      <c r="P19" s="211" t="str">
        <f t="shared" si="2"/>
        <v/>
      </c>
      <c r="Q19" s="210">
        <f t="shared" si="3"/>
        <v>0</v>
      </c>
      <c r="R19" s="700" t="s">
        <v>17</v>
      </c>
      <c r="S19" s="422"/>
      <c r="T19" s="211" t="str">
        <f t="shared" si="4"/>
        <v/>
      </c>
      <c r="U19" s="210">
        <f t="shared" si="5"/>
        <v>0</v>
      </c>
      <c r="V19" s="700" t="s">
        <v>17</v>
      </c>
      <c r="W19" s="422"/>
      <c r="X19" s="211" t="str">
        <f t="shared" si="6"/>
        <v/>
      </c>
      <c r="Y19" s="210">
        <f t="shared" si="7"/>
        <v>0</v>
      </c>
      <c r="Z19" s="700" t="s">
        <v>17</v>
      </c>
      <c r="AA19" s="422"/>
      <c r="AB19" s="211" t="str">
        <f t="shared" si="8"/>
        <v/>
      </c>
      <c r="AC19" s="210">
        <f t="shared" si="9"/>
        <v>0</v>
      </c>
      <c r="AD19" s="212">
        <f t="shared" si="10"/>
        <v>0</v>
      </c>
    </row>
    <row r="20" spans="1:30" ht="24.75" customHeight="1" x14ac:dyDescent="0.25">
      <c r="A20" s="213"/>
      <c r="B20" s="698">
        <f t="shared" si="11"/>
        <v>0</v>
      </c>
      <c r="C20" s="698">
        <f t="shared" si="12"/>
        <v>0</v>
      </c>
      <c r="D20" s="737">
        <v>6</v>
      </c>
      <c r="E20" s="740"/>
      <c r="F20" s="739" t="s">
        <v>17</v>
      </c>
      <c r="G20" s="422"/>
      <c r="H20" s="700" t="s">
        <v>17</v>
      </c>
      <c r="I20" s="701"/>
      <c r="J20" s="210">
        <f t="shared" si="0"/>
        <v>0</v>
      </c>
      <c r="K20" s="700" t="s">
        <v>17</v>
      </c>
      <c r="L20" s="702"/>
      <c r="M20" s="210">
        <f t="shared" si="1"/>
        <v>0</v>
      </c>
      <c r="N20" s="700" t="s">
        <v>17</v>
      </c>
      <c r="O20" s="422"/>
      <c r="P20" s="211" t="str">
        <f t="shared" si="2"/>
        <v/>
      </c>
      <c r="Q20" s="210">
        <f t="shared" si="3"/>
        <v>0</v>
      </c>
      <c r="R20" s="700" t="s">
        <v>17</v>
      </c>
      <c r="S20" s="422"/>
      <c r="T20" s="211" t="str">
        <f t="shared" si="4"/>
        <v/>
      </c>
      <c r="U20" s="210">
        <f t="shared" si="5"/>
        <v>0</v>
      </c>
      <c r="V20" s="700" t="s">
        <v>17</v>
      </c>
      <c r="W20" s="422"/>
      <c r="X20" s="211" t="str">
        <f t="shared" si="6"/>
        <v/>
      </c>
      <c r="Y20" s="210">
        <f t="shared" si="7"/>
        <v>0</v>
      </c>
      <c r="Z20" s="700" t="s">
        <v>17</v>
      </c>
      <c r="AA20" s="422"/>
      <c r="AB20" s="211" t="str">
        <f t="shared" si="8"/>
        <v/>
      </c>
      <c r="AC20" s="210">
        <f t="shared" si="9"/>
        <v>0</v>
      </c>
      <c r="AD20" s="212">
        <f t="shared" si="10"/>
        <v>0</v>
      </c>
    </row>
    <row r="21" spans="1:30" ht="24.75" customHeight="1" x14ac:dyDescent="0.25">
      <c r="A21" s="213"/>
      <c r="B21" s="698">
        <f t="shared" si="11"/>
        <v>0</v>
      </c>
      <c r="C21" s="698">
        <f t="shared" si="12"/>
        <v>0</v>
      </c>
      <c r="D21" s="737">
        <v>7</v>
      </c>
      <c r="E21" s="740"/>
      <c r="F21" s="739" t="s">
        <v>17</v>
      </c>
      <c r="G21" s="422"/>
      <c r="H21" s="700" t="s">
        <v>17</v>
      </c>
      <c r="I21" s="701"/>
      <c r="J21" s="210">
        <f t="shared" si="0"/>
        <v>0</v>
      </c>
      <c r="K21" s="700" t="s">
        <v>17</v>
      </c>
      <c r="L21" s="702"/>
      <c r="M21" s="210">
        <f t="shared" si="1"/>
        <v>0</v>
      </c>
      <c r="N21" s="700" t="s">
        <v>17</v>
      </c>
      <c r="O21" s="422"/>
      <c r="P21" s="211" t="str">
        <f t="shared" si="2"/>
        <v/>
      </c>
      <c r="Q21" s="210">
        <f t="shared" si="3"/>
        <v>0</v>
      </c>
      <c r="R21" s="700" t="s">
        <v>17</v>
      </c>
      <c r="S21" s="422"/>
      <c r="T21" s="211" t="str">
        <f t="shared" si="4"/>
        <v/>
      </c>
      <c r="U21" s="210">
        <f t="shared" si="5"/>
        <v>0</v>
      </c>
      <c r="V21" s="700" t="s">
        <v>17</v>
      </c>
      <c r="W21" s="422"/>
      <c r="X21" s="211" t="str">
        <f t="shared" si="6"/>
        <v/>
      </c>
      <c r="Y21" s="210">
        <f t="shared" si="7"/>
        <v>0</v>
      </c>
      <c r="Z21" s="700" t="s">
        <v>17</v>
      </c>
      <c r="AA21" s="422"/>
      <c r="AB21" s="211" t="str">
        <f t="shared" si="8"/>
        <v/>
      </c>
      <c r="AC21" s="210">
        <f t="shared" si="9"/>
        <v>0</v>
      </c>
      <c r="AD21" s="212">
        <f t="shared" si="10"/>
        <v>0</v>
      </c>
    </row>
    <row r="22" spans="1:30" ht="24.75" customHeight="1" x14ac:dyDescent="0.25">
      <c r="A22" s="213"/>
      <c r="B22" s="698">
        <f t="shared" si="11"/>
        <v>0</v>
      </c>
      <c r="C22" s="698">
        <f t="shared" si="12"/>
        <v>0</v>
      </c>
      <c r="D22" s="737">
        <v>8</v>
      </c>
      <c r="E22" s="740"/>
      <c r="F22" s="739" t="s">
        <v>17</v>
      </c>
      <c r="G22" s="422"/>
      <c r="H22" s="700" t="s">
        <v>17</v>
      </c>
      <c r="I22" s="701"/>
      <c r="J22" s="210">
        <f t="shared" si="0"/>
        <v>0</v>
      </c>
      <c r="K22" s="700" t="s">
        <v>17</v>
      </c>
      <c r="L22" s="702"/>
      <c r="M22" s="210">
        <f t="shared" si="1"/>
        <v>0</v>
      </c>
      <c r="N22" s="700" t="s">
        <v>17</v>
      </c>
      <c r="O22" s="422"/>
      <c r="P22" s="211" t="str">
        <f t="shared" si="2"/>
        <v/>
      </c>
      <c r="Q22" s="210">
        <f t="shared" si="3"/>
        <v>0</v>
      </c>
      <c r="R22" s="700" t="s">
        <v>17</v>
      </c>
      <c r="S22" s="422"/>
      <c r="T22" s="211" t="str">
        <f t="shared" si="4"/>
        <v/>
      </c>
      <c r="U22" s="210">
        <f t="shared" si="5"/>
        <v>0</v>
      </c>
      <c r="V22" s="700" t="s">
        <v>17</v>
      </c>
      <c r="W22" s="422"/>
      <c r="X22" s="211" t="str">
        <f t="shared" si="6"/>
        <v/>
      </c>
      <c r="Y22" s="210">
        <f t="shared" si="7"/>
        <v>0</v>
      </c>
      <c r="Z22" s="700" t="s">
        <v>17</v>
      </c>
      <c r="AA22" s="422"/>
      <c r="AB22" s="211" t="str">
        <f t="shared" si="8"/>
        <v/>
      </c>
      <c r="AC22" s="210">
        <f t="shared" si="9"/>
        <v>0</v>
      </c>
      <c r="AD22" s="212">
        <f t="shared" si="10"/>
        <v>0</v>
      </c>
    </row>
    <row r="23" spans="1:30" ht="24.75" customHeight="1" x14ac:dyDescent="0.25">
      <c r="A23" s="213"/>
      <c r="B23" s="698">
        <f t="shared" si="11"/>
        <v>0</v>
      </c>
      <c r="C23" s="698">
        <f t="shared" si="12"/>
        <v>0</v>
      </c>
      <c r="D23" s="737">
        <v>9</v>
      </c>
      <c r="E23" s="740"/>
      <c r="F23" s="739" t="s">
        <v>17</v>
      </c>
      <c r="G23" s="422"/>
      <c r="H23" s="700" t="s">
        <v>17</v>
      </c>
      <c r="I23" s="701"/>
      <c r="J23" s="210">
        <f t="shared" si="0"/>
        <v>0</v>
      </c>
      <c r="K23" s="700" t="s">
        <v>17</v>
      </c>
      <c r="L23" s="702"/>
      <c r="M23" s="210">
        <f t="shared" si="1"/>
        <v>0</v>
      </c>
      <c r="N23" s="700" t="s">
        <v>17</v>
      </c>
      <c r="O23" s="422"/>
      <c r="P23" s="211" t="str">
        <f t="shared" si="2"/>
        <v/>
      </c>
      <c r="Q23" s="210">
        <f t="shared" si="3"/>
        <v>0</v>
      </c>
      <c r="R23" s="700" t="s">
        <v>17</v>
      </c>
      <c r="S23" s="422"/>
      <c r="T23" s="211" t="str">
        <f t="shared" si="4"/>
        <v/>
      </c>
      <c r="U23" s="210">
        <f t="shared" si="5"/>
        <v>0</v>
      </c>
      <c r="V23" s="700" t="s">
        <v>17</v>
      </c>
      <c r="W23" s="422"/>
      <c r="X23" s="211" t="str">
        <f t="shared" si="6"/>
        <v/>
      </c>
      <c r="Y23" s="210">
        <f t="shared" si="7"/>
        <v>0</v>
      </c>
      <c r="Z23" s="700" t="s">
        <v>17</v>
      </c>
      <c r="AA23" s="422"/>
      <c r="AB23" s="211" t="str">
        <f t="shared" si="8"/>
        <v/>
      </c>
      <c r="AC23" s="210">
        <f t="shared" si="9"/>
        <v>0</v>
      </c>
      <c r="AD23" s="212">
        <f t="shared" si="10"/>
        <v>0</v>
      </c>
    </row>
    <row r="24" spans="1:30" ht="30" customHeight="1" x14ac:dyDescent="0.25">
      <c r="A24" s="213"/>
      <c r="B24" s="698">
        <f t="shared" si="11"/>
        <v>0</v>
      </c>
      <c r="C24" s="698">
        <f t="shared" si="12"/>
        <v>0</v>
      </c>
      <c r="D24" s="737">
        <v>10</v>
      </c>
      <c r="E24" s="740"/>
      <c r="F24" s="739" t="s">
        <v>17</v>
      </c>
      <c r="G24" s="422"/>
      <c r="H24" s="700" t="s">
        <v>17</v>
      </c>
      <c r="I24" s="701"/>
      <c r="J24" s="210">
        <f t="shared" si="0"/>
        <v>0</v>
      </c>
      <c r="K24" s="700" t="s">
        <v>17</v>
      </c>
      <c r="L24" s="702"/>
      <c r="M24" s="210">
        <f t="shared" si="1"/>
        <v>0</v>
      </c>
      <c r="N24" s="700" t="s">
        <v>17</v>
      </c>
      <c r="O24" s="422"/>
      <c r="P24" s="211" t="str">
        <f t="shared" si="2"/>
        <v/>
      </c>
      <c r="Q24" s="210">
        <f t="shared" si="3"/>
        <v>0</v>
      </c>
      <c r="R24" s="700" t="s">
        <v>17</v>
      </c>
      <c r="S24" s="422"/>
      <c r="T24" s="211" t="str">
        <f t="shared" si="4"/>
        <v/>
      </c>
      <c r="U24" s="210">
        <f t="shared" si="5"/>
        <v>0</v>
      </c>
      <c r="V24" s="700" t="s">
        <v>17</v>
      </c>
      <c r="W24" s="422"/>
      <c r="X24" s="211" t="str">
        <f t="shared" si="6"/>
        <v/>
      </c>
      <c r="Y24" s="210">
        <f t="shared" si="7"/>
        <v>0</v>
      </c>
      <c r="Z24" s="700" t="s">
        <v>17</v>
      </c>
      <c r="AA24" s="422"/>
      <c r="AB24" s="211" t="str">
        <f t="shared" si="8"/>
        <v/>
      </c>
      <c r="AC24" s="210">
        <f t="shared" si="9"/>
        <v>0</v>
      </c>
      <c r="AD24" s="212">
        <f t="shared" si="10"/>
        <v>0</v>
      </c>
    </row>
    <row r="25" spans="1:30" ht="30" customHeight="1" x14ac:dyDescent="0.25">
      <c r="A25" s="213"/>
      <c r="B25" s="698">
        <f t="shared" si="11"/>
        <v>0</v>
      </c>
      <c r="C25" s="698">
        <f t="shared" si="12"/>
        <v>0</v>
      </c>
      <c r="D25" s="737">
        <v>11</v>
      </c>
      <c r="E25" s="740"/>
      <c r="F25" s="739" t="s">
        <v>17</v>
      </c>
      <c r="G25" s="422"/>
      <c r="H25" s="700" t="s">
        <v>17</v>
      </c>
      <c r="I25" s="701"/>
      <c r="J25" s="210">
        <f t="shared" si="0"/>
        <v>0</v>
      </c>
      <c r="K25" s="700" t="s">
        <v>17</v>
      </c>
      <c r="L25" s="702"/>
      <c r="M25" s="210">
        <f t="shared" si="1"/>
        <v>0</v>
      </c>
      <c r="N25" s="700" t="s">
        <v>17</v>
      </c>
      <c r="O25" s="422"/>
      <c r="P25" s="211" t="str">
        <f t="shared" si="2"/>
        <v/>
      </c>
      <c r="Q25" s="210">
        <f t="shared" si="3"/>
        <v>0</v>
      </c>
      <c r="R25" s="700" t="s">
        <v>17</v>
      </c>
      <c r="S25" s="422"/>
      <c r="T25" s="211" t="str">
        <f t="shared" si="4"/>
        <v/>
      </c>
      <c r="U25" s="210">
        <f t="shared" si="5"/>
        <v>0</v>
      </c>
      <c r="V25" s="700" t="s">
        <v>17</v>
      </c>
      <c r="W25" s="422"/>
      <c r="X25" s="211" t="str">
        <f t="shared" si="6"/>
        <v/>
      </c>
      <c r="Y25" s="210">
        <f t="shared" si="7"/>
        <v>0</v>
      </c>
      <c r="Z25" s="700" t="s">
        <v>17</v>
      </c>
      <c r="AA25" s="422"/>
      <c r="AB25" s="211" t="str">
        <f t="shared" si="8"/>
        <v/>
      </c>
      <c r="AC25" s="210">
        <f t="shared" si="9"/>
        <v>0</v>
      </c>
      <c r="AD25" s="212">
        <f t="shared" si="10"/>
        <v>0</v>
      </c>
    </row>
    <row r="26" spans="1:30" ht="30" customHeight="1" x14ac:dyDescent="0.25">
      <c r="A26" s="213"/>
      <c r="B26" s="698">
        <f t="shared" si="11"/>
        <v>0</v>
      </c>
      <c r="C26" s="698">
        <f t="shared" si="12"/>
        <v>0</v>
      </c>
      <c r="D26" s="737">
        <v>12</v>
      </c>
      <c r="E26" s="740"/>
      <c r="F26" s="739" t="s">
        <v>17</v>
      </c>
      <c r="G26" s="422"/>
      <c r="H26" s="700" t="s">
        <v>17</v>
      </c>
      <c r="I26" s="701"/>
      <c r="J26" s="210">
        <f t="shared" si="0"/>
        <v>0</v>
      </c>
      <c r="K26" s="700" t="s">
        <v>17</v>
      </c>
      <c r="L26" s="702"/>
      <c r="M26" s="210">
        <f t="shared" si="1"/>
        <v>0</v>
      </c>
      <c r="N26" s="700" t="s">
        <v>17</v>
      </c>
      <c r="O26" s="422"/>
      <c r="P26" s="211" t="str">
        <f t="shared" si="2"/>
        <v/>
      </c>
      <c r="Q26" s="210">
        <f t="shared" si="3"/>
        <v>0</v>
      </c>
      <c r="R26" s="700" t="s">
        <v>17</v>
      </c>
      <c r="S26" s="422"/>
      <c r="T26" s="211" t="str">
        <f t="shared" si="4"/>
        <v/>
      </c>
      <c r="U26" s="210">
        <f t="shared" si="5"/>
        <v>0</v>
      </c>
      <c r="V26" s="700" t="s">
        <v>17</v>
      </c>
      <c r="W26" s="422"/>
      <c r="X26" s="211" t="str">
        <f t="shared" si="6"/>
        <v/>
      </c>
      <c r="Y26" s="210">
        <f t="shared" si="7"/>
        <v>0</v>
      </c>
      <c r="Z26" s="700" t="s">
        <v>17</v>
      </c>
      <c r="AA26" s="422"/>
      <c r="AB26" s="211" t="str">
        <f t="shared" si="8"/>
        <v/>
      </c>
      <c r="AC26" s="210">
        <f t="shared" si="9"/>
        <v>0</v>
      </c>
      <c r="AD26" s="212">
        <f t="shared" si="10"/>
        <v>0</v>
      </c>
    </row>
    <row r="27" spans="1:30" ht="30" customHeight="1" x14ac:dyDescent="0.25">
      <c r="A27" s="213"/>
      <c r="B27" s="698">
        <f t="shared" si="11"/>
        <v>0</v>
      </c>
      <c r="C27" s="698">
        <f t="shared" si="12"/>
        <v>0</v>
      </c>
      <c r="D27" s="737">
        <v>13</v>
      </c>
      <c r="E27" s="740"/>
      <c r="F27" s="739" t="s">
        <v>17</v>
      </c>
      <c r="G27" s="422"/>
      <c r="H27" s="700" t="s">
        <v>17</v>
      </c>
      <c r="I27" s="701"/>
      <c r="J27" s="210">
        <f t="shared" si="0"/>
        <v>0</v>
      </c>
      <c r="K27" s="700" t="s">
        <v>17</v>
      </c>
      <c r="L27" s="702"/>
      <c r="M27" s="210">
        <f t="shared" si="1"/>
        <v>0</v>
      </c>
      <c r="N27" s="700" t="s">
        <v>17</v>
      </c>
      <c r="O27" s="422"/>
      <c r="P27" s="211" t="str">
        <f t="shared" si="2"/>
        <v/>
      </c>
      <c r="Q27" s="210">
        <f t="shared" si="3"/>
        <v>0</v>
      </c>
      <c r="R27" s="700" t="s">
        <v>17</v>
      </c>
      <c r="S27" s="422"/>
      <c r="T27" s="211" t="str">
        <f t="shared" si="4"/>
        <v/>
      </c>
      <c r="U27" s="210">
        <f t="shared" si="5"/>
        <v>0</v>
      </c>
      <c r="V27" s="700" t="s">
        <v>17</v>
      </c>
      <c r="W27" s="422"/>
      <c r="X27" s="211" t="str">
        <f t="shared" si="6"/>
        <v/>
      </c>
      <c r="Y27" s="210">
        <f t="shared" si="7"/>
        <v>0</v>
      </c>
      <c r="Z27" s="700" t="s">
        <v>17</v>
      </c>
      <c r="AA27" s="422"/>
      <c r="AB27" s="211" t="str">
        <f t="shared" si="8"/>
        <v/>
      </c>
      <c r="AC27" s="210">
        <f t="shared" si="9"/>
        <v>0</v>
      </c>
      <c r="AD27" s="212">
        <f t="shared" si="10"/>
        <v>0</v>
      </c>
    </row>
    <row r="28" spans="1:30" ht="30" customHeight="1" x14ac:dyDescent="0.25">
      <c r="A28" s="213"/>
      <c r="B28" s="698">
        <f t="shared" si="11"/>
        <v>0</v>
      </c>
      <c r="C28" s="698">
        <f t="shared" si="12"/>
        <v>0</v>
      </c>
      <c r="D28" s="737">
        <v>14</v>
      </c>
      <c r="E28" s="740"/>
      <c r="F28" s="739" t="s">
        <v>17</v>
      </c>
      <c r="G28" s="422"/>
      <c r="H28" s="700" t="s">
        <v>17</v>
      </c>
      <c r="I28" s="701"/>
      <c r="J28" s="210">
        <f t="shared" si="0"/>
        <v>0</v>
      </c>
      <c r="K28" s="700" t="s">
        <v>17</v>
      </c>
      <c r="L28" s="702"/>
      <c r="M28" s="210">
        <f t="shared" si="1"/>
        <v>0</v>
      </c>
      <c r="N28" s="700" t="s">
        <v>17</v>
      </c>
      <c r="O28" s="422"/>
      <c r="P28" s="211" t="str">
        <f t="shared" si="2"/>
        <v/>
      </c>
      <c r="Q28" s="210">
        <f t="shared" si="3"/>
        <v>0</v>
      </c>
      <c r="R28" s="700" t="s">
        <v>17</v>
      </c>
      <c r="S28" s="422"/>
      <c r="T28" s="211" t="str">
        <f t="shared" si="4"/>
        <v/>
      </c>
      <c r="U28" s="210">
        <f t="shared" si="5"/>
        <v>0</v>
      </c>
      <c r="V28" s="700" t="s">
        <v>17</v>
      </c>
      <c r="W28" s="422"/>
      <c r="X28" s="211" t="str">
        <f t="shared" si="6"/>
        <v/>
      </c>
      <c r="Y28" s="210">
        <f t="shared" si="7"/>
        <v>0</v>
      </c>
      <c r="Z28" s="700" t="s">
        <v>17</v>
      </c>
      <c r="AA28" s="422"/>
      <c r="AB28" s="211" t="str">
        <f t="shared" si="8"/>
        <v/>
      </c>
      <c r="AC28" s="210">
        <f t="shared" si="9"/>
        <v>0</v>
      </c>
      <c r="AD28" s="212">
        <f t="shared" si="10"/>
        <v>0</v>
      </c>
    </row>
    <row r="29" spans="1:30" ht="30" customHeight="1" x14ac:dyDescent="0.25">
      <c r="A29" s="213"/>
      <c r="B29" s="698">
        <f t="shared" si="11"/>
        <v>0</v>
      </c>
      <c r="C29" s="698">
        <f t="shared" si="12"/>
        <v>0</v>
      </c>
      <c r="D29" s="737">
        <v>15</v>
      </c>
      <c r="E29" s="740"/>
      <c r="F29" s="739" t="s">
        <v>17</v>
      </c>
      <c r="G29" s="422"/>
      <c r="H29" s="700" t="s">
        <v>17</v>
      </c>
      <c r="I29" s="701"/>
      <c r="J29" s="210">
        <f t="shared" si="0"/>
        <v>0</v>
      </c>
      <c r="K29" s="700" t="s">
        <v>17</v>
      </c>
      <c r="L29" s="702"/>
      <c r="M29" s="210">
        <f t="shared" si="1"/>
        <v>0</v>
      </c>
      <c r="N29" s="700" t="s">
        <v>17</v>
      </c>
      <c r="O29" s="422"/>
      <c r="P29" s="211" t="str">
        <f t="shared" si="2"/>
        <v/>
      </c>
      <c r="Q29" s="210">
        <f t="shared" si="3"/>
        <v>0</v>
      </c>
      <c r="R29" s="700" t="s">
        <v>17</v>
      </c>
      <c r="S29" s="422"/>
      <c r="T29" s="211" t="str">
        <f t="shared" si="4"/>
        <v/>
      </c>
      <c r="U29" s="210">
        <f t="shared" si="5"/>
        <v>0</v>
      </c>
      <c r="V29" s="700" t="s">
        <v>17</v>
      </c>
      <c r="W29" s="422"/>
      <c r="X29" s="211" t="str">
        <f t="shared" si="6"/>
        <v/>
      </c>
      <c r="Y29" s="210">
        <f t="shared" si="7"/>
        <v>0</v>
      </c>
      <c r="Z29" s="700" t="s">
        <v>17</v>
      </c>
      <c r="AA29" s="422"/>
      <c r="AB29" s="211" t="str">
        <f t="shared" si="8"/>
        <v/>
      </c>
      <c r="AC29" s="210">
        <f t="shared" si="9"/>
        <v>0</v>
      </c>
      <c r="AD29" s="212">
        <f t="shared" si="10"/>
        <v>0</v>
      </c>
    </row>
    <row r="30" spans="1:30" ht="30" customHeight="1" x14ac:dyDescent="0.25">
      <c r="A30" s="213"/>
      <c r="B30" s="698">
        <f t="shared" si="11"/>
        <v>0</v>
      </c>
      <c r="C30" s="698">
        <f t="shared" si="12"/>
        <v>0</v>
      </c>
      <c r="D30" s="737">
        <v>16</v>
      </c>
      <c r="E30" s="740"/>
      <c r="F30" s="739" t="s">
        <v>17</v>
      </c>
      <c r="G30" s="422"/>
      <c r="H30" s="700" t="s">
        <v>17</v>
      </c>
      <c r="I30" s="701"/>
      <c r="J30" s="210">
        <f t="shared" si="0"/>
        <v>0</v>
      </c>
      <c r="K30" s="700" t="s">
        <v>17</v>
      </c>
      <c r="L30" s="702"/>
      <c r="M30" s="210">
        <f t="shared" si="1"/>
        <v>0</v>
      </c>
      <c r="N30" s="700" t="s">
        <v>17</v>
      </c>
      <c r="O30" s="422"/>
      <c r="P30" s="211" t="str">
        <f t="shared" si="2"/>
        <v/>
      </c>
      <c r="Q30" s="210">
        <f t="shared" si="3"/>
        <v>0</v>
      </c>
      <c r="R30" s="700" t="s">
        <v>17</v>
      </c>
      <c r="S30" s="422"/>
      <c r="T30" s="211" t="str">
        <f t="shared" si="4"/>
        <v/>
      </c>
      <c r="U30" s="210">
        <f t="shared" si="5"/>
        <v>0</v>
      </c>
      <c r="V30" s="700" t="s">
        <v>17</v>
      </c>
      <c r="W30" s="422"/>
      <c r="X30" s="211" t="str">
        <f t="shared" si="6"/>
        <v/>
      </c>
      <c r="Y30" s="210">
        <f t="shared" si="7"/>
        <v>0</v>
      </c>
      <c r="Z30" s="700" t="s">
        <v>17</v>
      </c>
      <c r="AA30" s="422"/>
      <c r="AB30" s="211" t="str">
        <f t="shared" si="8"/>
        <v/>
      </c>
      <c r="AC30" s="210">
        <f t="shared" si="9"/>
        <v>0</v>
      </c>
      <c r="AD30" s="212">
        <f t="shared" si="10"/>
        <v>0</v>
      </c>
    </row>
    <row r="31" spans="1:30" ht="30" customHeight="1" x14ac:dyDescent="0.25">
      <c r="A31" s="213"/>
      <c r="B31" s="698">
        <f t="shared" si="11"/>
        <v>0</v>
      </c>
      <c r="C31" s="698">
        <f t="shared" si="12"/>
        <v>0</v>
      </c>
      <c r="D31" s="737">
        <v>17</v>
      </c>
      <c r="E31" s="740"/>
      <c r="F31" s="739" t="s">
        <v>17</v>
      </c>
      <c r="G31" s="422"/>
      <c r="H31" s="700" t="s">
        <v>17</v>
      </c>
      <c r="I31" s="701"/>
      <c r="J31" s="210">
        <f t="shared" si="0"/>
        <v>0</v>
      </c>
      <c r="K31" s="700" t="s">
        <v>17</v>
      </c>
      <c r="L31" s="702"/>
      <c r="M31" s="210">
        <f t="shared" si="1"/>
        <v>0</v>
      </c>
      <c r="N31" s="700" t="s">
        <v>17</v>
      </c>
      <c r="O31" s="422"/>
      <c r="P31" s="211" t="str">
        <f t="shared" si="2"/>
        <v/>
      </c>
      <c r="Q31" s="210">
        <f t="shared" si="3"/>
        <v>0</v>
      </c>
      <c r="R31" s="700" t="s">
        <v>17</v>
      </c>
      <c r="S31" s="422"/>
      <c r="T31" s="211" t="str">
        <f t="shared" si="4"/>
        <v/>
      </c>
      <c r="U31" s="210">
        <f t="shared" si="5"/>
        <v>0</v>
      </c>
      <c r="V31" s="700" t="s">
        <v>17</v>
      </c>
      <c r="W31" s="422"/>
      <c r="X31" s="211" t="str">
        <f t="shared" si="6"/>
        <v/>
      </c>
      <c r="Y31" s="210">
        <f t="shared" si="7"/>
        <v>0</v>
      </c>
      <c r="Z31" s="700" t="s">
        <v>17</v>
      </c>
      <c r="AA31" s="422"/>
      <c r="AB31" s="211" t="str">
        <f t="shared" si="8"/>
        <v/>
      </c>
      <c r="AC31" s="210">
        <f t="shared" si="9"/>
        <v>0</v>
      </c>
      <c r="AD31" s="212">
        <f t="shared" si="10"/>
        <v>0</v>
      </c>
    </row>
    <row r="32" spans="1:30" ht="30" customHeight="1" x14ac:dyDescent="0.25">
      <c r="A32" s="213"/>
      <c r="B32" s="698">
        <f t="shared" si="11"/>
        <v>0</v>
      </c>
      <c r="C32" s="698">
        <f t="shared" si="12"/>
        <v>0</v>
      </c>
      <c r="D32" s="737">
        <v>18</v>
      </c>
      <c r="E32" s="740"/>
      <c r="F32" s="739" t="s">
        <v>17</v>
      </c>
      <c r="G32" s="422"/>
      <c r="H32" s="700" t="s">
        <v>17</v>
      </c>
      <c r="I32" s="701"/>
      <c r="J32" s="210">
        <f t="shared" si="0"/>
        <v>0</v>
      </c>
      <c r="K32" s="700" t="s">
        <v>17</v>
      </c>
      <c r="L32" s="702"/>
      <c r="M32" s="210">
        <f t="shared" si="1"/>
        <v>0</v>
      </c>
      <c r="N32" s="700" t="s">
        <v>17</v>
      </c>
      <c r="O32" s="422"/>
      <c r="P32" s="211" t="str">
        <f t="shared" si="2"/>
        <v/>
      </c>
      <c r="Q32" s="210">
        <f t="shared" si="3"/>
        <v>0</v>
      </c>
      <c r="R32" s="700" t="s">
        <v>17</v>
      </c>
      <c r="S32" s="422"/>
      <c r="T32" s="211" t="str">
        <f t="shared" si="4"/>
        <v/>
      </c>
      <c r="U32" s="210">
        <f t="shared" si="5"/>
        <v>0</v>
      </c>
      <c r="V32" s="700" t="s">
        <v>17</v>
      </c>
      <c r="W32" s="422"/>
      <c r="X32" s="211" t="str">
        <f t="shared" si="6"/>
        <v/>
      </c>
      <c r="Y32" s="210">
        <f t="shared" si="7"/>
        <v>0</v>
      </c>
      <c r="Z32" s="700" t="s">
        <v>17</v>
      </c>
      <c r="AA32" s="422"/>
      <c r="AB32" s="211" t="str">
        <f t="shared" si="8"/>
        <v/>
      </c>
      <c r="AC32" s="210">
        <f t="shared" si="9"/>
        <v>0</v>
      </c>
      <c r="AD32" s="212">
        <f t="shared" si="10"/>
        <v>0</v>
      </c>
    </row>
    <row r="33" spans="1:30" ht="30" customHeight="1" x14ac:dyDescent="0.25">
      <c r="A33" s="213"/>
      <c r="B33" s="698">
        <f t="shared" si="11"/>
        <v>0</v>
      </c>
      <c r="C33" s="698">
        <f t="shared" si="12"/>
        <v>0</v>
      </c>
      <c r="D33" s="737">
        <v>19</v>
      </c>
      <c r="E33" s="740"/>
      <c r="F33" s="739" t="s">
        <v>17</v>
      </c>
      <c r="G33" s="422"/>
      <c r="H33" s="700" t="s">
        <v>17</v>
      </c>
      <c r="I33" s="701"/>
      <c r="J33" s="210">
        <f t="shared" si="0"/>
        <v>0</v>
      </c>
      <c r="K33" s="700" t="s">
        <v>17</v>
      </c>
      <c r="L33" s="702"/>
      <c r="M33" s="210">
        <f t="shared" si="1"/>
        <v>0</v>
      </c>
      <c r="N33" s="700" t="s">
        <v>17</v>
      </c>
      <c r="O33" s="422"/>
      <c r="P33" s="211" t="str">
        <f t="shared" si="2"/>
        <v/>
      </c>
      <c r="Q33" s="210">
        <f t="shared" si="3"/>
        <v>0</v>
      </c>
      <c r="R33" s="700" t="s">
        <v>17</v>
      </c>
      <c r="S33" s="422"/>
      <c r="T33" s="211" t="str">
        <f t="shared" si="4"/>
        <v/>
      </c>
      <c r="U33" s="210">
        <f t="shared" si="5"/>
        <v>0</v>
      </c>
      <c r="V33" s="700" t="s">
        <v>17</v>
      </c>
      <c r="W33" s="422"/>
      <c r="X33" s="211" t="str">
        <f t="shared" si="6"/>
        <v/>
      </c>
      <c r="Y33" s="210">
        <f t="shared" si="7"/>
        <v>0</v>
      </c>
      <c r="Z33" s="700" t="s">
        <v>17</v>
      </c>
      <c r="AA33" s="422"/>
      <c r="AB33" s="211" t="str">
        <f t="shared" si="8"/>
        <v/>
      </c>
      <c r="AC33" s="210">
        <f t="shared" si="9"/>
        <v>0</v>
      </c>
      <c r="AD33" s="212">
        <f t="shared" si="10"/>
        <v>0</v>
      </c>
    </row>
    <row r="34" spans="1:30" ht="30" customHeight="1" x14ac:dyDescent="0.25">
      <c r="A34" s="213"/>
      <c r="B34" s="698">
        <f t="shared" si="11"/>
        <v>0</v>
      </c>
      <c r="C34" s="698">
        <f t="shared" si="12"/>
        <v>0</v>
      </c>
      <c r="D34" s="737">
        <v>20</v>
      </c>
      <c r="E34" s="740"/>
      <c r="F34" s="739" t="s">
        <v>17</v>
      </c>
      <c r="G34" s="422"/>
      <c r="H34" s="700" t="s">
        <v>17</v>
      </c>
      <c r="I34" s="701"/>
      <c r="J34" s="210">
        <f t="shared" si="0"/>
        <v>0</v>
      </c>
      <c r="K34" s="700" t="s">
        <v>17</v>
      </c>
      <c r="L34" s="702"/>
      <c r="M34" s="210">
        <f t="shared" si="1"/>
        <v>0</v>
      </c>
      <c r="N34" s="700" t="s">
        <v>17</v>
      </c>
      <c r="O34" s="422"/>
      <c r="P34" s="211" t="str">
        <f t="shared" si="2"/>
        <v/>
      </c>
      <c r="Q34" s="210">
        <f t="shared" si="3"/>
        <v>0</v>
      </c>
      <c r="R34" s="700" t="s">
        <v>17</v>
      </c>
      <c r="S34" s="422"/>
      <c r="T34" s="211" t="str">
        <f t="shared" si="4"/>
        <v/>
      </c>
      <c r="U34" s="210">
        <f t="shared" si="5"/>
        <v>0</v>
      </c>
      <c r="V34" s="700" t="s">
        <v>17</v>
      </c>
      <c r="W34" s="422"/>
      <c r="X34" s="211" t="str">
        <f t="shared" si="6"/>
        <v/>
      </c>
      <c r="Y34" s="210">
        <f t="shared" si="7"/>
        <v>0</v>
      </c>
      <c r="Z34" s="700" t="s">
        <v>17</v>
      </c>
      <c r="AA34" s="422"/>
      <c r="AB34" s="211" t="str">
        <f t="shared" si="8"/>
        <v/>
      </c>
      <c r="AC34" s="210">
        <f t="shared" si="9"/>
        <v>0</v>
      </c>
      <c r="AD34" s="212">
        <f t="shared" si="10"/>
        <v>0</v>
      </c>
    </row>
    <row r="35" spans="1:30" ht="12.75" customHeight="1" x14ac:dyDescent="0.25">
      <c r="A35" s="213"/>
      <c r="B35" s="196"/>
      <c r="C35" s="196"/>
      <c r="D35" s="196"/>
      <c r="E35" s="214"/>
      <c r="F35" s="729"/>
      <c r="G35" s="729"/>
      <c r="H35" s="196"/>
      <c r="I35" s="196"/>
      <c r="J35" s="196"/>
      <c r="K35" s="196"/>
      <c r="L35" s="196"/>
      <c r="M35" s="196"/>
      <c r="N35" s="196"/>
      <c r="O35" s="196"/>
      <c r="P35" s="196"/>
      <c r="Q35" s="196"/>
      <c r="R35" s="196"/>
      <c r="S35" s="196"/>
      <c r="T35" s="196"/>
      <c r="U35" s="196"/>
      <c r="V35" s="196"/>
      <c r="W35" s="196"/>
      <c r="X35" s="196"/>
      <c r="Y35" s="196"/>
      <c r="Z35" s="196"/>
      <c r="AA35" s="196"/>
      <c r="AB35" s="196"/>
      <c r="AC35" s="196"/>
    </row>
    <row r="36" spans="1:30" ht="7.5" customHeight="1" x14ac:dyDescent="0.25">
      <c r="A36" s="213"/>
      <c r="B36" s="196"/>
      <c r="C36" s="196"/>
      <c r="D36" s="753"/>
      <c r="E36" s="754"/>
      <c r="F36" s="728"/>
      <c r="G36" s="728"/>
      <c r="H36" s="196"/>
      <c r="I36" s="196"/>
      <c r="J36" s="196"/>
      <c r="K36" s="196"/>
      <c r="L36" s="196"/>
      <c r="M36" s="196"/>
      <c r="N36" s="196"/>
      <c r="O36" s="196"/>
      <c r="P36" s="196"/>
      <c r="Q36" s="196"/>
      <c r="R36" s="196"/>
      <c r="S36" s="196"/>
      <c r="T36" s="196"/>
      <c r="U36" s="196"/>
      <c r="V36" s="196"/>
      <c r="W36" s="196"/>
      <c r="X36" s="196"/>
      <c r="Y36" s="196"/>
      <c r="Z36" s="196"/>
      <c r="AA36" s="196"/>
      <c r="AB36" s="196"/>
      <c r="AC36" s="196"/>
    </row>
    <row r="37" spans="1:30" ht="6" customHeight="1" x14ac:dyDescent="0.25">
      <c r="A37" s="196"/>
      <c r="B37" s="196"/>
      <c r="C37" s="196"/>
      <c r="D37" s="755"/>
      <c r="E37" s="754"/>
      <c r="F37" s="728"/>
      <c r="G37" s="728"/>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row>
    <row r="38" spans="1:30" ht="15.75" customHeight="1" x14ac:dyDescent="0.25">
      <c r="A38" s="177"/>
      <c r="B38" s="178"/>
      <c r="C38" s="178"/>
      <c r="D38" s="178" t="s">
        <v>12</v>
      </c>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row>
    <row r="39" spans="1:30" ht="15.75" customHeight="1" x14ac:dyDescent="0.25">
      <c r="A39" s="196"/>
      <c r="B39" s="196"/>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row>
    <row r="40" spans="1:30" ht="15.75" customHeight="1" x14ac:dyDescent="0.25">
      <c r="A40" s="196"/>
      <c r="B40"/>
      <c r="C40"/>
      <c r="D40" s="196"/>
      <c r="E40" s="196"/>
      <c r="F40" s="196"/>
      <c r="G40" s="196"/>
      <c r="H40" s="196"/>
      <c r="I40" s="196"/>
      <c r="L40" s="196"/>
      <c r="M40" s="215"/>
      <c r="N40" s="215"/>
      <c r="O40" s="222" t="s">
        <v>107</v>
      </c>
      <c r="P40" s="386" t="s">
        <v>470</v>
      </c>
      <c r="S40"/>
      <c r="T40"/>
      <c r="U40"/>
      <c r="V40"/>
      <c r="W40"/>
      <c r="X40"/>
      <c r="Y40"/>
      <c r="Z40"/>
      <c r="AA40"/>
      <c r="AB40"/>
      <c r="AC40"/>
    </row>
    <row r="41" spans="1:30" ht="15.75" hidden="1" customHeight="1" x14ac:dyDescent="0.25">
      <c r="A41" s="196"/>
      <c r="B41"/>
      <c r="C41"/>
      <c r="D41" s="216" t="s">
        <v>550</v>
      </c>
      <c r="E41" s="216" t="s">
        <v>455</v>
      </c>
      <c r="F41" s="216" t="s">
        <v>19</v>
      </c>
      <c r="G41" s="216"/>
      <c r="H41" s="216" t="s">
        <v>200</v>
      </c>
      <c r="I41" s="196"/>
      <c r="L41" s="216" t="s">
        <v>301</v>
      </c>
      <c r="M41" s="216" t="s">
        <v>114</v>
      </c>
      <c r="N41" s="216" t="s">
        <v>18</v>
      </c>
      <c r="O41" s="217" t="s">
        <v>90</v>
      </c>
      <c r="P41" s="218" t="s">
        <v>10</v>
      </c>
      <c r="S41"/>
      <c r="T41"/>
      <c r="U41"/>
      <c r="V41"/>
      <c r="W41"/>
      <c r="X41"/>
      <c r="Y41"/>
      <c r="Z41"/>
      <c r="AA41"/>
      <c r="AB41"/>
      <c r="AC41"/>
    </row>
    <row r="42" spans="1:30" ht="15.75" hidden="1" customHeight="1" x14ac:dyDescent="0.25">
      <c r="A42" s="196"/>
      <c r="B42"/>
      <c r="C42"/>
      <c r="D42" s="225" t="s">
        <v>17</v>
      </c>
      <c r="E42" s="225" t="s">
        <v>17</v>
      </c>
      <c r="F42" s="735" t="s">
        <v>17</v>
      </c>
      <c r="G42" s="225"/>
      <c r="H42" s="225" t="s">
        <v>17</v>
      </c>
      <c r="I42" s="196"/>
      <c r="L42" s="225" t="s">
        <v>17</v>
      </c>
      <c r="M42" s="225" t="s">
        <v>17</v>
      </c>
      <c r="N42" s="225"/>
      <c r="O42" s="387"/>
      <c r="P42" s="388"/>
      <c r="S42"/>
      <c r="T42"/>
      <c r="U42"/>
      <c r="V42"/>
      <c r="W42"/>
      <c r="X42"/>
      <c r="Y42"/>
      <c r="Z42"/>
      <c r="AA42"/>
      <c r="AB42"/>
      <c r="AC42"/>
    </row>
    <row r="43" spans="1:30" ht="15.75" hidden="1" customHeight="1" x14ac:dyDescent="0.25">
      <c r="A43" s="196"/>
      <c r="B43"/>
      <c r="C43"/>
      <c r="D43" s="226" t="s">
        <v>94</v>
      </c>
      <c r="E43" s="226" t="str">
        <f>IF(E15&lt;&gt;"",E15,"")</f>
        <v/>
      </c>
      <c r="F43" s="736" t="s">
        <v>27</v>
      </c>
      <c r="G43" s="226"/>
      <c r="H43" s="226" t="s">
        <v>13</v>
      </c>
      <c r="I43" s="196"/>
      <c r="L43" s="389" t="s">
        <v>302</v>
      </c>
      <c r="M43" s="389" t="s">
        <v>47</v>
      </c>
      <c r="N43" s="389" t="s">
        <v>105</v>
      </c>
      <c r="O43" s="219" t="s">
        <v>89</v>
      </c>
      <c r="P43" s="220">
        <v>0.27079999999999999</v>
      </c>
      <c r="S43"/>
      <c r="T43"/>
      <c r="U43"/>
      <c r="V43"/>
      <c r="W43"/>
      <c r="X43"/>
      <c r="Y43"/>
      <c r="Z43"/>
      <c r="AA43"/>
      <c r="AB43"/>
      <c r="AC43"/>
    </row>
    <row r="44" spans="1:30" ht="15.75" hidden="1" customHeight="1" x14ac:dyDescent="0.25">
      <c r="A44" s="196"/>
      <c r="B44"/>
      <c r="C44"/>
      <c r="D44" s="226" t="s">
        <v>320</v>
      </c>
      <c r="E44" s="226" t="str">
        <f t="shared" ref="E44:E62" si="13">IF(E16&lt;&gt;"",E16,"")</f>
        <v/>
      </c>
      <c r="F44" s="736" t="s">
        <v>28</v>
      </c>
      <c r="G44" s="226"/>
      <c r="H44" s="226" t="s">
        <v>211</v>
      </c>
      <c r="I44" s="196"/>
      <c r="L44" s="389" t="s">
        <v>310</v>
      </c>
      <c r="M44" s="389" t="s">
        <v>49</v>
      </c>
      <c r="N44" s="389" t="s">
        <v>105</v>
      </c>
      <c r="O44" s="221" t="s">
        <v>89</v>
      </c>
      <c r="P44" s="220">
        <v>0.1769</v>
      </c>
      <c r="S44"/>
      <c r="T44"/>
      <c r="U44"/>
      <c r="V44"/>
      <c r="W44"/>
      <c r="X44"/>
      <c r="Y44"/>
      <c r="Z44"/>
      <c r="AA44"/>
      <c r="AB44"/>
      <c r="AC44"/>
    </row>
    <row r="45" spans="1:30" ht="15.75" hidden="1" customHeight="1" x14ac:dyDescent="0.25">
      <c r="A45" s="196"/>
      <c r="B45"/>
      <c r="C45"/>
      <c r="D45" s="226" t="s">
        <v>321</v>
      </c>
      <c r="E45" s="226" t="str">
        <f t="shared" si="13"/>
        <v/>
      </c>
      <c r="F45" s="736" t="s">
        <v>29</v>
      </c>
      <c r="G45" s="226"/>
      <c r="H45" s="226" t="s">
        <v>313</v>
      </c>
      <c r="I45" s="196"/>
      <c r="L45" s="389" t="s">
        <v>311</v>
      </c>
      <c r="M45" s="389" t="s">
        <v>55</v>
      </c>
      <c r="N45" s="389" t="s">
        <v>15</v>
      </c>
      <c r="O45" s="221" t="s">
        <v>103</v>
      </c>
      <c r="P45" s="220">
        <v>8.3120000000000004E-4</v>
      </c>
      <c r="S45"/>
      <c r="T45"/>
      <c r="U45"/>
      <c r="V45"/>
      <c r="W45"/>
      <c r="X45"/>
      <c r="Y45"/>
      <c r="Z45"/>
      <c r="AA45"/>
      <c r="AB45"/>
      <c r="AC45"/>
    </row>
    <row r="46" spans="1:30" ht="15.75" hidden="1" customHeight="1" x14ac:dyDescent="0.25">
      <c r="A46" s="196"/>
      <c r="B46"/>
      <c r="C46"/>
      <c r="D46" s="226" t="s">
        <v>442</v>
      </c>
      <c r="E46" s="226" t="str">
        <f t="shared" si="13"/>
        <v/>
      </c>
      <c r="F46" s="736" t="s">
        <v>30</v>
      </c>
      <c r="G46" s="226"/>
      <c r="H46" s="226" t="s">
        <v>309</v>
      </c>
      <c r="I46" s="196"/>
      <c r="L46" s="389" t="s">
        <v>307</v>
      </c>
      <c r="M46" s="389" t="s">
        <v>56</v>
      </c>
      <c r="N46" s="389" t="s">
        <v>15</v>
      </c>
      <c r="O46" s="221" t="s">
        <v>103</v>
      </c>
      <c r="P46" s="220">
        <v>5.0660000000000006E-4</v>
      </c>
      <c r="S46"/>
      <c r="T46"/>
      <c r="U46"/>
      <c r="V46"/>
      <c r="W46"/>
      <c r="X46"/>
      <c r="Y46"/>
      <c r="Z46"/>
      <c r="AA46"/>
      <c r="AB46"/>
      <c r="AC46"/>
    </row>
    <row r="47" spans="1:30" ht="15.75" hidden="1" customHeight="1" x14ac:dyDescent="0.25">
      <c r="A47" s="196"/>
      <c r="B47"/>
      <c r="C47"/>
      <c r="D47"/>
      <c r="E47" s="226" t="str">
        <f t="shared" si="13"/>
        <v/>
      </c>
      <c r="F47" s="736" t="s">
        <v>31</v>
      </c>
      <c r="G47" s="226"/>
      <c r="H47" s="226" t="s">
        <v>9</v>
      </c>
      <c r="I47" s="196"/>
      <c r="L47" s="389" t="s">
        <v>308</v>
      </c>
      <c r="M47" s="389" t="s">
        <v>0</v>
      </c>
      <c r="N47" s="389" t="s">
        <v>105</v>
      </c>
      <c r="O47" s="221" t="s">
        <v>89</v>
      </c>
      <c r="P47" s="220">
        <v>0.7</v>
      </c>
      <c r="S47"/>
      <c r="T47"/>
      <c r="U47"/>
      <c r="V47"/>
      <c r="W47"/>
      <c r="X47"/>
      <c r="Y47"/>
      <c r="Z47"/>
      <c r="AA47"/>
      <c r="AB47"/>
      <c r="AC47"/>
    </row>
    <row r="48" spans="1:30" ht="15.75" hidden="1" customHeight="1" x14ac:dyDescent="0.25">
      <c r="A48" s="196"/>
      <c r="B48"/>
      <c r="C48"/>
      <c r="D48"/>
      <c r="E48" s="226" t="str">
        <f t="shared" si="13"/>
        <v/>
      </c>
      <c r="F48" s="736" t="s">
        <v>32</v>
      </c>
      <c r="G48" s="226"/>
      <c r="H48" s="226" t="s">
        <v>143</v>
      </c>
      <c r="I48" s="196"/>
      <c r="L48" s="389"/>
      <c r="M48" s="389" t="s">
        <v>50</v>
      </c>
      <c r="N48" s="389" t="s">
        <v>105</v>
      </c>
      <c r="O48" s="219" t="s">
        <v>89</v>
      </c>
      <c r="P48" s="220">
        <v>0.75</v>
      </c>
      <c r="S48"/>
      <c r="T48"/>
      <c r="U48"/>
      <c r="V48"/>
      <c r="W48"/>
      <c r="X48"/>
      <c r="Y48"/>
      <c r="Z48"/>
      <c r="AA48"/>
      <c r="AB48"/>
      <c r="AC48"/>
    </row>
    <row r="49" spans="1:29" ht="15.75" hidden="1" customHeight="1" x14ac:dyDescent="0.25">
      <c r="A49" s="196"/>
      <c r="B49"/>
      <c r="C49"/>
      <c r="D49"/>
      <c r="E49" s="226" t="str">
        <f t="shared" si="13"/>
        <v/>
      </c>
      <c r="F49" s="736" t="s">
        <v>33</v>
      </c>
      <c r="G49" s="226"/>
      <c r="H49" s="226" t="s">
        <v>1</v>
      </c>
      <c r="I49" s="196"/>
      <c r="L49" s="389"/>
      <c r="M49" s="389" t="s">
        <v>51</v>
      </c>
      <c r="N49" s="389" t="s">
        <v>105</v>
      </c>
      <c r="O49" s="221" t="s">
        <v>89</v>
      </c>
      <c r="P49" s="220">
        <v>0.28499999999999998</v>
      </c>
      <c r="S49"/>
      <c r="T49"/>
      <c r="U49"/>
      <c r="V49"/>
      <c r="W49"/>
      <c r="X49"/>
      <c r="Y49"/>
      <c r="Z49"/>
      <c r="AA49"/>
      <c r="AB49"/>
      <c r="AC49"/>
    </row>
    <row r="50" spans="1:29" ht="15.75" hidden="1" customHeight="1" x14ac:dyDescent="0.25">
      <c r="A50" s="196"/>
      <c r="B50"/>
      <c r="C50"/>
      <c r="D50"/>
      <c r="E50" s="226" t="str">
        <f t="shared" si="13"/>
        <v/>
      </c>
      <c r="F50" s="736" t="s">
        <v>34</v>
      </c>
      <c r="G50" s="226"/>
      <c r="H50" s="226" t="s">
        <v>2</v>
      </c>
      <c r="I50" s="196"/>
      <c r="L50" s="389"/>
      <c r="M50" s="389" t="s">
        <v>52</v>
      </c>
      <c r="N50" s="389" t="s">
        <v>105</v>
      </c>
      <c r="O50" s="219" t="s">
        <v>89</v>
      </c>
      <c r="P50" s="220">
        <v>0.38</v>
      </c>
      <c r="S50"/>
      <c r="T50"/>
      <c r="U50"/>
      <c r="V50"/>
      <c r="W50"/>
      <c r="X50"/>
      <c r="Y50"/>
      <c r="Z50"/>
      <c r="AA50"/>
      <c r="AB50"/>
      <c r="AC50"/>
    </row>
    <row r="51" spans="1:29" ht="15.75" hidden="1" customHeight="1" x14ac:dyDescent="0.25">
      <c r="A51" s="196"/>
      <c r="B51"/>
      <c r="C51"/>
      <c r="D51"/>
      <c r="E51" s="226" t="str">
        <f t="shared" si="13"/>
        <v/>
      </c>
      <c r="F51" s="736" t="s">
        <v>35</v>
      </c>
      <c r="G51" s="226"/>
      <c r="H51" s="226" t="s">
        <v>3</v>
      </c>
      <c r="I51" s="196"/>
      <c r="L51" s="390"/>
      <c r="M51" s="389" t="s">
        <v>53</v>
      </c>
      <c r="N51" s="389" t="s">
        <v>105</v>
      </c>
      <c r="O51" s="221" t="s">
        <v>89</v>
      </c>
      <c r="P51" s="220">
        <v>0.37119999999999997</v>
      </c>
      <c r="S51"/>
      <c r="T51"/>
      <c r="U51"/>
      <c r="V51"/>
      <c r="W51"/>
      <c r="X51"/>
      <c r="Y51"/>
      <c r="Z51"/>
      <c r="AA51"/>
      <c r="AB51"/>
      <c r="AC51"/>
    </row>
    <row r="52" spans="1:29" ht="15.75" hidden="1" customHeight="1" x14ac:dyDescent="0.25">
      <c r="A52" s="196"/>
      <c r="B52"/>
      <c r="C52"/>
      <c r="D52"/>
      <c r="E52" s="226" t="str">
        <f t="shared" si="13"/>
        <v/>
      </c>
      <c r="F52" s="736" t="s">
        <v>36</v>
      </c>
      <c r="G52" s="226"/>
      <c r="H52" s="227" t="s">
        <v>4</v>
      </c>
      <c r="I52" s="196"/>
      <c r="L52" s="390"/>
      <c r="M52" s="225" t="s">
        <v>106</v>
      </c>
      <c r="N52" s="225" t="s">
        <v>105</v>
      </c>
      <c r="O52" s="219" t="s">
        <v>89</v>
      </c>
      <c r="P52" s="220">
        <v>0.27079999999999999</v>
      </c>
      <c r="S52"/>
      <c r="T52"/>
      <c r="U52"/>
      <c r="V52"/>
      <c r="W52"/>
      <c r="X52"/>
      <c r="Y52"/>
      <c r="Z52"/>
      <c r="AA52"/>
      <c r="AB52"/>
      <c r="AC52"/>
    </row>
    <row r="53" spans="1:29" ht="15.75" hidden="1" customHeight="1" x14ac:dyDescent="0.25">
      <c r="A53" s="196"/>
      <c r="B53"/>
      <c r="C53"/>
      <c r="D53"/>
      <c r="E53" s="226" t="str">
        <f t="shared" si="13"/>
        <v/>
      </c>
      <c r="F53" s="736" t="s">
        <v>37</v>
      </c>
      <c r="G53" s="226"/>
      <c r="H53" s="227" t="s">
        <v>5</v>
      </c>
      <c r="I53" s="196"/>
      <c r="L53" s="390"/>
      <c r="M53" s="389" t="s">
        <v>108</v>
      </c>
      <c r="N53" s="389" t="s">
        <v>105</v>
      </c>
      <c r="O53" s="221" t="s">
        <v>89</v>
      </c>
      <c r="P53" s="220">
        <v>0.68</v>
      </c>
      <c r="S53"/>
      <c r="T53"/>
      <c r="U53"/>
      <c r="V53"/>
      <c r="W53"/>
      <c r="X53"/>
      <c r="Y53"/>
      <c r="Z53"/>
      <c r="AA53"/>
      <c r="AB53"/>
      <c r="AC53"/>
    </row>
    <row r="54" spans="1:29" ht="15.75" hidden="1" customHeight="1" x14ac:dyDescent="0.25">
      <c r="A54" s="196"/>
      <c r="B54"/>
      <c r="C54"/>
      <c r="D54"/>
      <c r="E54" s="226" t="str">
        <f t="shared" si="13"/>
        <v/>
      </c>
      <c r="F54" s="736" t="s">
        <v>38</v>
      </c>
      <c r="G54" s="226"/>
      <c r="H54" s="227" t="s">
        <v>6</v>
      </c>
      <c r="I54" s="196"/>
      <c r="L54" s="390"/>
      <c r="M54" s="389" t="s">
        <v>109</v>
      </c>
      <c r="N54" s="389" t="s">
        <v>105</v>
      </c>
      <c r="O54" s="221" t="s">
        <v>89</v>
      </c>
      <c r="P54" s="220">
        <v>0.93859999999999999</v>
      </c>
      <c r="S54"/>
      <c r="T54"/>
      <c r="U54"/>
      <c r="V54"/>
      <c r="W54"/>
      <c r="X54"/>
      <c r="Y54"/>
      <c r="Z54"/>
      <c r="AA54"/>
      <c r="AB54"/>
      <c r="AC54"/>
    </row>
    <row r="55" spans="1:29" ht="15.75" hidden="1" customHeight="1" x14ac:dyDescent="0.25">
      <c r="A55" s="196"/>
      <c r="B55"/>
      <c r="C55"/>
      <c r="D55"/>
      <c r="E55" s="226" t="str">
        <f t="shared" si="13"/>
        <v/>
      </c>
      <c r="F55" s="736" t="s">
        <v>39</v>
      </c>
      <c r="G55" s="226"/>
      <c r="H55" s="227" t="s">
        <v>7</v>
      </c>
      <c r="I55" s="196"/>
      <c r="L55" s="390"/>
      <c r="M55" s="389" t="s">
        <v>110</v>
      </c>
      <c r="N55" s="389" t="s">
        <v>105</v>
      </c>
      <c r="O55" s="219" t="s">
        <v>89</v>
      </c>
      <c r="P55" s="220">
        <v>0.8</v>
      </c>
      <c r="S55"/>
      <c r="T55"/>
      <c r="U55"/>
      <c r="V55"/>
      <c r="W55"/>
      <c r="X55"/>
      <c r="Y55"/>
      <c r="Z55"/>
      <c r="AA55"/>
      <c r="AB55"/>
      <c r="AC55"/>
    </row>
    <row r="56" spans="1:29" ht="15.75" hidden="1" customHeight="1" x14ac:dyDescent="0.25">
      <c r="A56" s="196"/>
      <c r="B56"/>
      <c r="C56"/>
      <c r="D56"/>
      <c r="E56" s="226" t="str">
        <f t="shared" si="13"/>
        <v/>
      </c>
      <c r="F56" s="736" t="s">
        <v>40</v>
      </c>
      <c r="G56" s="226"/>
      <c r="H56" s="227" t="s">
        <v>8</v>
      </c>
      <c r="I56" s="196"/>
      <c r="L56" s="390"/>
      <c r="M56" s="389" t="s">
        <v>85</v>
      </c>
      <c r="N56" s="389" t="s">
        <v>11</v>
      </c>
      <c r="O56" s="221" t="s">
        <v>104</v>
      </c>
      <c r="P56" s="220">
        <v>8.599999999999999E-5</v>
      </c>
      <c r="S56"/>
      <c r="T56"/>
      <c r="U56"/>
      <c r="V56"/>
      <c r="W56"/>
      <c r="X56"/>
      <c r="Y56"/>
      <c r="Z56"/>
      <c r="AA56"/>
      <c r="AB56"/>
      <c r="AC56"/>
    </row>
    <row r="57" spans="1:29" ht="15.75" hidden="1" customHeight="1" x14ac:dyDescent="0.25">
      <c r="A57" s="196"/>
      <c r="B57"/>
      <c r="C57"/>
      <c r="D57"/>
      <c r="E57" s="226" t="str">
        <f t="shared" si="13"/>
        <v/>
      </c>
      <c r="F57" s="736" t="s">
        <v>41</v>
      </c>
      <c r="G57" s="226"/>
      <c r="H57" s="227" t="s">
        <v>314</v>
      </c>
      <c r="I57" s="196"/>
      <c r="L57" s="390"/>
      <c r="M57" s="389" t="s">
        <v>471</v>
      </c>
      <c r="N57" s="389" t="s">
        <v>15</v>
      </c>
      <c r="O57" s="221" t="s">
        <v>103</v>
      </c>
      <c r="P57" s="220">
        <v>9.1876449836625492E-4</v>
      </c>
      <c r="S57"/>
      <c r="T57"/>
      <c r="U57"/>
      <c r="V57"/>
      <c r="W57"/>
      <c r="X57"/>
      <c r="Y57"/>
      <c r="Z57"/>
      <c r="AA57"/>
      <c r="AB57"/>
      <c r="AC57"/>
    </row>
    <row r="58" spans="1:29" ht="15.75" hidden="1" customHeight="1" x14ac:dyDescent="0.25">
      <c r="A58" s="196"/>
      <c r="B58"/>
      <c r="C58"/>
      <c r="D58"/>
      <c r="E58" s="226" t="str">
        <f t="shared" si="13"/>
        <v/>
      </c>
      <c r="F58" s="736" t="s">
        <v>42</v>
      </c>
      <c r="G58" s="226"/>
      <c r="H58" s="227" t="s">
        <v>315</v>
      </c>
      <c r="I58" s="196"/>
      <c r="L58" s="390"/>
      <c r="M58" s="389" t="s">
        <v>472</v>
      </c>
      <c r="N58" s="389" t="s">
        <v>15</v>
      </c>
      <c r="O58" s="221" t="s">
        <v>103</v>
      </c>
      <c r="P58" s="220">
        <v>9.26732306867318E-4</v>
      </c>
      <c r="S58"/>
      <c r="T58"/>
      <c r="U58"/>
      <c r="V58"/>
      <c r="W58"/>
      <c r="X58"/>
      <c r="Y58"/>
      <c r="Z58"/>
      <c r="AA58"/>
      <c r="AB58"/>
      <c r="AC58"/>
    </row>
    <row r="59" spans="1:29" ht="15.75" hidden="1" customHeight="1" x14ac:dyDescent="0.25">
      <c r="A59" s="196"/>
      <c r="B59"/>
      <c r="C59"/>
      <c r="D59"/>
      <c r="E59" s="226" t="str">
        <f t="shared" si="13"/>
        <v/>
      </c>
      <c r="F59" s="736" t="s">
        <v>43</v>
      </c>
      <c r="G59" s="226"/>
      <c r="H59" s="227" t="s">
        <v>316</v>
      </c>
      <c r="I59" s="196"/>
      <c r="L59" s="390"/>
      <c r="M59" s="389" t="s">
        <v>473</v>
      </c>
      <c r="N59" s="389" t="s">
        <v>15</v>
      </c>
      <c r="O59" s="221" t="s">
        <v>103</v>
      </c>
      <c r="P59" s="220">
        <v>9.4010000000000003E-4</v>
      </c>
      <c r="S59"/>
      <c r="T59"/>
      <c r="U59"/>
      <c r="V59"/>
      <c r="W59"/>
      <c r="X59"/>
      <c r="Y59"/>
      <c r="Z59"/>
      <c r="AA59"/>
      <c r="AB59"/>
      <c r="AC59"/>
    </row>
    <row r="60" spans="1:29" ht="15.75" hidden="1" customHeight="1" x14ac:dyDescent="0.25">
      <c r="A60" s="196"/>
      <c r="B60"/>
      <c r="C60"/>
      <c r="D60"/>
      <c r="E60" s="226" t="str">
        <f t="shared" si="13"/>
        <v/>
      </c>
      <c r="F60" s="736" t="s">
        <v>44</v>
      </c>
      <c r="G60" s="226"/>
      <c r="H60" s="227" t="s">
        <v>317</v>
      </c>
      <c r="I60" s="196"/>
      <c r="L60" s="390"/>
      <c r="M60" s="389" t="s">
        <v>111</v>
      </c>
      <c r="N60" s="389" t="s">
        <v>16</v>
      </c>
      <c r="O60" s="221" t="s">
        <v>474</v>
      </c>
      <c r="P60" s="220">
        <v>8.3000000000000001E-4</v>
      </c>
      <c r="S60"/>
      <c r="T60"/>
      <c r="U60"/>
      <c r="V60"/>
      <c r="W60"/>
      <c r="X60"/>
      <c r="Y60"/>
      <c r="Z60"/>
      <c r="AA60"/>
      <c r="AB60"/>
      <c r="AC60"/>
    </row>
    <row r="61" spans="1:29" ht="15.75" hidden="1" customHeight="1" x14ac:dyDescent="0.25">
      <c r="A61" s="196"/>
      <c r="B61"/>
      <c r="C61"/>
      <c r="D61"/>
      <c r="E61" s="226" t="str">
        <f t="shared" si="13"/>
        <v/>
      </c>
      <c r="F61" s="736" t="s">
        <v>45</v>
      </c>
      <c r="G61" s="226"/>
      <c r="H61" s="227" t="s">
        <v>138</v>
      </c>
      <c r="I61" s="196"/>
      <c r="L61" s="390"/>
      <c r="M61" s="391" t="s">
        <v>117</v>
      </c>
      <c r="N61" s="391" t="s">
        <v>15</v>
      </c>
      <c r="O61" s="221" t="s">
        <v>103</v>
      </c>
      <c r="P61" s="220">
        <v>8.4800000000000001E-4</v>
      </c>
      <c r="S61"/>
      <c r="T61"/>
      <c r="U61"/>
      <c r="V61"/>
      <c r="W61"/>
      <c r="X61"/>
      <c r="Y61"/>
      <c r="Z61"/>
      <c r="AA61"/>
      <c r="AB61"/>
      <c r="AC61"/>
    </row>
    <row r="62" spans="1:29" ht="15.75" hidden="1" customHeight="1" x14ac:dyDescent="0.25">
      <c r="A62" s="196"/>
      <c r="B62"/>
      <c r="C62"/>
      <c r="D62"/>
      <c r="E62" s="226" t="str">
        <f t="shared" si="13"/>
        <v/>
      </c>
      <c r="F62" s="226"/>
      <c r="G62" s="226"/>
      <c r="H62" s="227" t="s">
        <v>14</v>
      </c>
      <c r="I62" s="196"/>
      <c r="L62"/>
      <c r="M62" s="392" t="s">
        <v>116</v>
      </c>
      <c r="N62" s="392" t="s">
        <v>15</v>
      </c>
      <c r="O62" s="221" t="s">
        <v>103</v>
      </c>
      <c r="P62" s="220">
        <v>8.5619999999999999E-4</v>
      </c>
      <c r="S62"/>
      <c r="T62"/>
      <c r="U62"/>
      <c r="V62"/>
      <c r="W62"/>
      <c r="X62"/>
      <c r="Y62"/>
      <c r="Z62"/>
      <c r="AA62"/>
      <c r="AB62"/>
      <c r="AC62"/>
    </row>
    <row r="63" spans="1:29" ht="15.75" hidden="1" customHeight="1" x14ac:dyDescent="0.25">
      <c r="A63" s="196"/>
      <c r="B63"/>
      <c r="C63"/>
      <c r="D63"/>
      <c r="E63"/>
      <c r="F63"/>
      <c r="G63"/>
      <c r="H63" s="227" t="s">
        <v>318</v>
      </c>
      <c r="I63" s="196"/>
      <c r="L63"/>
      <c r="M63" s="389" t="s">
        <v>112</v>
      </c>
      <c r="N63" s="389" t="s">
        <v>15</v>
      </c>
      <c r="O63" s="221" t="s">
        <v>103</v>
      </c>
      <c r="P63" s="220">
        <v>7.5420000000000001E-4</v>
      </c>
      <c r="S63"/>
      <c r="T63"/>
      <c r="U63"/>
      <c r="V63"/>
      <c r="W63"/>
      <c r="X63"/>
      <c r="Y63"/>
      <c r="Z63"/>
      <c r="AA63"/>
      <c r="AB63"/>
      <c r="AC63"/>
    </row>
    <row r="64" spans="1:29" ht="15.75" hidden="1" customHeight="1" x14ac:dyDescent="0.25">
      <c r="A64" s="196"/>
      <c r="B64"/>
      <c r="C64"/>
      <c r="D64"/>
      <c r="E64"/>
      <c r="F64"/>
      <c r="G64"/>
      <c r="H64" s="196"/>
      <c r="I64" s="196"/>
      <c r="L64"/>
      <c r="M64" s="389" t="s">
        <v>118</v>
      </c>
      <c r="N64" s="389" t="s">
        <v>15</v>
      </c>
      <c r="O64" s="221" t="s">
        <v>103</v>
      </c>
      <c r="P64" s="220">
        <v>7.9040000000000002E-4</v>
      </c>
      <c r="S64"/>
      <c r="T64"/>
      <c r="U64"/>
      <c r="V64"/>
      <c r="W64"/>
      <c r="X64"/>
      <c r="Y64"/>
      <c r="Z64"/>
      <c r="AA64"/>
      <c r="AB64"/>
      <c r="AC64"/>
    </row>
    <row r="65" spans="1:29" ht="15.75" hidden="1" customHeight="1" x14ac:dyDescent="0.25">
      <c r="A65" s="196"/>
      <c r="B65"/>
      <c r="C65"/>
      <c r="D65"/>
      <c r="E65"/>
      <c r="F65"/>
      <c r="G65"/>
      <c r="H65"/>
      <c r="I65"/>
      <c r="L65"/>
      <c r="M65" s="389" t="s">
        <v>119</v>
      </c>
      <c r="N65" s="389" t="s">
        <v>15</v>
      </c>
      <c r="O65" s="221" t="s">
        <v>103</v>
      </c>
      <c r="P65" s="220">
        <v>7.8470000000000005E-4</v>
      </c>
      <c r="S65"/>
      <c r="T65"/>
      <c r="U65"/>
      <c r="V65"/>
      <c r="W65"/>
      <c r="X65"/>
      <c r="Y65"/>
      <c r="Z65"/>
      <c r="AA65"/>
      <c r="AB65"/>
      <c r="AC65"/>
    </row>
    <row r="66" spans="1:29" ht="15.75" hidden="1" customHeight="1" x14ac:dyDescent="0.25">
      <c r="A66" s="196"/>
      <c r="B66"/>
      <c r="C66"/>
      <c r="D66"/>
      <c r="E66"/>
      <c r="F66"/>
      <c r="G66"/>
      <c r="H66"/>
      <c r="I66"/>
      <c r="L66"/>
      <c r="M66" s="389" t="s">
        <v>115</v>
      </c>
      <c r="N66" s="389" t="s">
        <v>105</v>
      </c>
      <c r="O66" s="221" t="s">
        <v>89</v>
      </c>
      <c r="P66" s="220">
        <v>1.0923</v>
      </c>
      <c r="S66"/>
      <c r="T66"/>
      <c r="U66"/>
      <c r="V66"/>
      <c r="W66"/>
      <c r="X66"/>
      <c r="Y66"/>
      <c r="Z66"/>
      <c r="AA66"/>
      <c r="AB66"/>
      <c r="AC66"/>
    </row>
    <row r="67" spans="1:29" ht="15.75" hidden="1" customHeight="1" x14ac:dyDescent="0.25">
      <c r="A67" s="196"/>
      <c r="B67"/>
      <c r="C67"/>
      <c r="D67"/>
      <c r="E67"/>
      <c r="F67"/>
      <c r="G67"/>
      <c r="H67"/>
      <c r="I67"/>
      <c r="L67"/>
      <c r="M67" s="389" t="s">
        <v>46</v>
      </c>
      <c r="N67" s="389" t="s">
        <v>105</v>
      </c>
      <c r="O67" s="219" t="s">
        <v>89</v>
      </c>
      <c r="P67" s="220">
        <v>0.27</v>
      </c>
      <c r="S67"/>
      <c r="T67"/>
      <c r="U67"/>
      <c r="V67"/>
      <c r="W67"/>
      <c r="X67"/>
      <c r="Y67"/>
      <c r="Z67"/>
      <c r="AA67"/>
      <c r="AB67"/>
      <c r="AC67"/>
    </row>
    <row r="68" spans="1:29" ht="15.75" hidden="1" customHeight="1" x14ac:dyDescent="0.25">
      <c r="A68" s="196"/>
      <c r="B68"/>
      <c r="C68"/>
      <c r="D68"/>
      <c r="E68"/>
      <c r="F68"/>
      <c r="G68"/>
      <c r="H68"/>
      <c r="I68"/>
      <c r="L68"/>
      <c r="M68" s="389" t="s">
        <v>54</v>
      </c>
      <c r="N68" s="389" t="s">
        <v>105</v>
      </c>
      <c r="O68" s="221" t="s">
        <v>89</v>
      </c>
      <c r="P68" s="220">
        <v>0.30155261927077598</v>
      </c>
      <c r="S68"/>
      <c r="T68"/>
      <c r="U68"/>
      <c r="V68"/>
      <c r="W68"/>
      <c r="X68"/>
      <c r="Y68"/>
      <c r="Z68"/>
      <c r="AA68"/>
      <c r="AB68"/>
      <c r="AC68"/>
    </row>
    <row r="69" spans="1:29" ht="15.75" hidden="1" customHeight="1" x14ac:dyDescent="0.25">
      <c r="A69" s="196"/>
      <c r="B69"/>
      <c r="C69"/>
      <c r="D69"/>
      <c r="E69"/>
      <c r="F69"/>
      <c r="G69"/>
      <c r="H69"/>
      <c r="I69"/>
      <c r="L69"/>
      <c r="M69" s="389" t="s">
        <v>123</v>
      </c>
      <c r="N69" s="389" t="s">
        <v>105</v>
      </c>
      <c r="O69" s="219" t="s">
        <v>89</v>
      </c>
      <c r="P69" s="220">
        <v>0.47</v>
      </c>
      <c r="S69"/>
      <c r="T69"/>
      <c r="U69"/>
      <c r="V69"/>
      <c r="W69"/>
      <c r="X69"/>
      <c r="Y69"/>
      <c r="Z69"/>
      <c r="AA69"/>
      <c r="AB69"/>
      <c r="AC69"/>
    </row>
    <row r="70" spans="1:29" ht="15.75" hidden="1" customHeight="1" x14ac:dyDescent="0.25">
      <c r="A70" s="196"/>
      <c r="B70"/>
      <c r="C70"/>
      <c r="D70"/>
      <c r="E70"/>
      <c r="F70"/>
      <c r="G70"/>
      <c r="H70"/>
      <c r="I70"/>
      <c r="L70"/>
      <c r="M70" s="389" t="s">
        <v>113</v>
      </c>
      <c r="N70" s="389" t="s">
        <v>16</v>
      </c>
      <c r="O70" s="221" t="s">
        <v>103</v>
      </c>
      <c r="P70" s="220">
        <v>5.6760000000000003E-4</v>
      </c>
      <c r="S70"/>
      <c r="T70"/>
      <c r="U70"/>
      <c r="V70"/>
      <c r="W70"/>
      <c r="X70"/>
      <c r="Y70"/>
      <c r="Z70"/>
      <c r="AA70"/>
      <c r="AB70"/>
      <c r="AC70"/>
    </row>
    <row r="71" spans="1:29" ht="15.75" hidden="1" customHeight="1" x14ac:dyDescent="0.25">
      <c r="A71" s="196"/>
      <c r="B71"/>
      <c r="C71"/>
      <c r="D71"/>
      <c r="E71"/>
      <c r="F71"/>
      <c r="G71"/>
      <c r="H71"/>
      <c r="I71"/>
      <c r="L71"/>
      <c r="M71" s="391" t="s">
        <v>87</v>
      </c>
      <c r="N71" s="391" t="s">
        <v>15</v>
      </c>
      <c r="O71" s="221" t="s">
        <v>103</v>
      </c>
      <c r="P71" s="220">
        <v>8.2930000000000005E-4</v>
      </c>
      <c r="S71"/>
      <c r="T71"/>
      <c r="U71"/>
      <c r="V71"/>
      <c r="W71"/>
      <c r="X71"/>
      <c r="Y71"/>
      <c r="Z71"/>
      <c r="AA71"/>
      <c r="AB71"/>
      <c r="AC71"/>
    </row>
    <row r="72" spans="1:29" ht="15.75" hidden="1" customHeight="1" x14ac:dyDescent="0.25">
      <c r="A72" s="196"/>
      <c r="B72"/>
      <c r="C72"/>
      <c r="D72"/>
      <c r="E72"/>
      <c r="F72"/>
      <c r="G72"/>
      <c r="H72"/>
      <c r="I72"/>
      <c r="L72"/>
      <c r="M72" s="392" t="s">
        <v>48</v>
      </c>
      <c r="N72" s="392" t="s">
        <v>105</v>
      </c>
      <c r="O72" s="219" t="s">
        <v>89</v>
      </c>
      <c r="P72" s="220">
        <v>0.27079999999999999</v>
      </c>
      <c r="S72"/>
      <c r="T72"/>
      <c r="U72"/>
      <c r="V72"/>
      <c r="W72"/>
      <c r="X72"/>
      <c r="Y72"/>
      <c r="Z72"/>
      <c r="AA72"/>
      <c r="AB72"/>
      <c r="AC72"/>
    </row>
    <row r="73" spans="1:29" ht="15.75" hidden="1" customHeight="1" x14ac:dyDescent="0.25">
      <c r="A73" s="196"/>
      <c r="B73"/>
      <c r="C73"/>
      <c r="D73"/>
      <c r="E73"/>
      <c r="F73"/>
      <c r="G73"/>
      <c r="H73"/>
      <c r="I73"/>
      <c r="L73"/>
      <c r="M73" s="392" t="s">
        <v>88</v>
      </c>
      <c r="N73" s="392" t="s">
        <v>105</v>
      </c>
      <c r="O73" s="219" t="s">
        <v>89</v>
      </c>
      <c r="P73" s="220">
        <v>1.0923</v>
      </c>
      <c r="S73"/>
      <c r="T73"/>
      <c r="U73"/>
      <c r="V73"/>
      <c r="W73"/>
      <c r="X73"/>
      <c r="Y73"/>
      <c r="Z73"/>
      <c r="AA73"/>
      <c r="AB73"/>
      <c r="AC73"/>
    </row>
    <row r="74" spans="1:29" ht="15.75" hidden="1" customHeight="1" x14ac:dyDescent="0.25">
      <c r="A74" s="196"/>
      <c r="B74"/>
      <c r="C74"/>
      <c r="D74"/>
      <c r="E74"/>
      <c r="F74"/>
      <c r="G74"/>
      <c r="H74"/>
      <c r="I74"/>
      <c r="L74"/>
      <c r="M74"/>
      <c r="N74"/>
      <c r="O74"/>
      <c r="P74"/>
      <c r="Q74"/>
      <c r="R74"/>
      <c r="S74"/>
      <c r="T74"/>
      <c r="U74"/>
      <c r="V74"/>
      <c r="W74"/>
      <c r="X74"/>
      <c r="Y74"/>
      <c r="Z74"/>
      <c r="AA74"/>
      <c r="AB74"/>
      <c r="AC74"/>
    </row>
    <row r="75" spans="1:29" ht="15" customHeight="1" x14ac:dyDescent="0.25">
      <c r="B75"/>
      <c r="C75"/>
      <c r="D75"/>
      <c r="E75"/>
      <c r="F75"/>
      <c r="G75"/>
      <c r="H75"/>
      <c r="I75"/>
      <c r="L75"/>
      <c r="M75"/>
      <c r="N75"/>
      <c r="O75"/>
      <c r="P75"/>
      <c r="Q75"/>
      <c r="R75"/>
    </row>
    <row r="76" spans="1:29" ht="15" customHeight="1" x14ac:dyDescent="0.25">
      <c r="B76"/>
      <c r="C76"/>
      <c r="D76"/>
      <c r="E76"/>
      <c r="F76"/>
      <c r="G76"/>
    </row>
    <row r="77" spans="1:29" ht="15" customHeight="1" x14ac:dyDescent="0.25">
      <c r="B77"/>
      <c r="C77"/>
      <c r="E77"/>
      <c r="F77"/>
      <c r="G77"/>
    </row>
  </sheetData>
  <sheetProtection algorithmName="SHA-512" hashValue="qlPS//Q7fO6gJ98tZbGhijSqcH5+vze5g+ZPSo14y/JQuzqiMjEUSYxGBLoOovPjMqLl5m/kMl6yBE1noaMwzw==" saltValue="WbWTeKdifZ8/tMmrkK1eKQ==" spinCount="100000" sheet="1" objects="1" scenarios="1"/>
  <mergeCells count="12">
    <mergeCell ref="C9:T9"/>
    <mergeCell ref="AD13:AD14"/>
    <mergeCell ref="D36:E36"/>
    <mergeCell ref="D37:E37"/>
    <mergeCell ref="K13:M13"/>
    <mergeCell ref="N13:Q13"/>
    <mergeCell ref="R13:U13"/>
    <mergeCell ref="V13:Y13"/>
    <mergeCell ref="Z13:AC13"/>
    <mergeCell ref="B12:C12"/>
    <mergeCell ref="C10:T10"/>
    <mergeCell ref="G13:J13"/>
  </mergeCells>
  <phoneticPr fontId="20" type="noConversion"/>
  <dataValidations disablePrompts="1" count="5">
    <dataValidation type="list" allowBlank="1" showErrorMessage="1" sqref="N15:N34 R15:R34 V15:V34 Z15:Z34" xr:uid="{00000000-0002-0000-0100-000000000000}">
      <formula1>$M$42:$M$74</formula1>
    </dataValidation>
    <dataValidation type="list" allowBlank="1" showInputMessage="1" showErrorMessage="1" sqref="K15:K34" xr:uid="{00000000-0002-0000-0100-000001000000}">
      <formula1>$L$42:$L$47</formula1>
    </dataValidation>
    <dataValidation type="list" allowBlank="1" showInputMessage="1" showErrorMessage="1" sqref="H15:H34" xr:uid="{00000000-0002-0000-0100-000002000000}">
      <formula1>$H$42:$H$63</formula1>
    </dataValidation>
    <dataValidation type="list" allowBlank="1" showInputMessage="1" showErrorMessage="1" sqref="D12" xr:uid="{FE9C668D-37CB-47A5-A704-A781EE0BF423}">
      <formula1>$D$42:$D$47</formula1>
    </dataValidation>
    <dataValidation type="list" allowBlank="1" showInputMessage="1" showErrorMessage="1" sqref="F15:F34" xr:uid="{2DCF9221-5C2E-4BA7-80C2-56890AE3427A}">
      <formula1>$F$42:$F$61</formula1>
    </dataValidation>
  </dataValidations>
  <pageMargins left="0.7" right="0.7" top="0.75" bottom="0.75" header="0" footer="0"/>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C00000"/>
  </sheetPr>
  <dimension ref="A1:AF31"/>
  <sheetViews>
    <sheetView zoomScale="80" zoomScaleNormal="80" workbookViewId="0">
      <selection activeCell="C2" sqref="C2"/>
    </sheetView>
  </sheetViews>
  <sheetFormatPr baseColWidth="10" defaultColWidth="11.42578125" defaultRowHeight="15.75" x14ac:dyDescent="0.25"/>
  <cols>
    <col min="1" max="1" width="1.140625" style="6" customWidth="1"/>
    <col min="2" max="2" width="2.7109375" style="35" customWidth="1"/>
    <col min="3" max="3" width="13.42578125" style="6" customWidth="1"/>
    <col min="4" max="20" width="11.42578125" style="6"/>
    <col min="21" max="21" width="7" style="6" customWidth="1"/>
    <col min="22" max="16384" width="11.42578125" style="6"/>
  </cols>
  <sheetData>
    <row r="1" spans="1:32" s="17" customFormat="1" ht="5.0999999999999996" customHeight="1" x14ac:dyDescent="0.25">
      <c r="A1" s="23"/>
      <c r="B1" s="28"/>
      <c r="J1" s="29"/>
    </row>
    <row r="2" spans="1:32" s="16" customFormat="1" ht="21" x14ac:dyDescent="0.35">
      <c r="B2" s="30"/>
      <c r="C2" s="5" t="s">
        <v>142</v>
      </c>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row>
    <row r="3" spans="1:32" s="17" customFormat="1" ht="5.0999999999999996" customHeight="1" x14ac:dyDescent="0.25">
      <c r="A3" s="23"/>
      <c r="B3" s="28"/>
      <c r="J3" s="29"/>
    </row>
    <row r="4" spans="1:32" s="19" customFormat="1" ht="9.75" customHeight="1" x14ac:dyDescent="0.3">
      <c r="B4" s="28"/>
      <c r="C4" s="4"/>
      <c r="E4" s="31"/>
      <c r="F4" s="31"/>
      <c r="G4" s="31"/>
      <c r="H4" s="31"/>
      <c r="I4" s="31"/>
      <c r="J4" s="31"/>
      <c r="K4" s="31"/>
      <c r="L4" s="31"/>
      <c r="M4" s="31"/>
      <c r="N4" s="31"/>
    </row>
    <row r="5" spans="1:32" s="19" customFormat="1" ht="9.9499999999999993" customHeight="1" x14ac:dyDescent="0.3">
      <c r="A5" s="32"/>
      <c r="B5" s="28"/>
      <c r="J5" s="33"/>
      <c r="K5" s="34"/>
      <c r="L5" s="34"/>
      <c r="M5" s="34"/>
      <c r="N5" s="34"/>
    </row>
    <row r="6" spans="1:32" s="32" customFormat="1" ht="20.100000000000001" customHeight="1" x14ac:dyDescent="0.25">
      <c r="B6" s="147" t="s">
        <v>98</v>
      </c>
      <c r="C6" s="508" t="s">
        <v>248</v>
      </c>
      <c r="D6" s="149"/>
      <c r="E6" s="14"/>
      <c r="F6" s="15"/>
      <c r="G6" s="15"/>
      <c r="H6" s="15"/>
      <c r="I6" s="15"/>
      <c r="J6" s="15"/>
      <c r="K6" s="15"/>
      <c r="L6" s="15"/>
      <c r="M6" s="15"/>
      <c r="N6" s="15"/>
      <c r="O6" s="149"/>
      <c r="P6" s="149"/>
      <c r="Q6" s="23"/>
      <c r="R6" s="23"/>
      <c r="S6" s="23"/>
      <c r="T6" s="23"/>
    </row>
    <row r="7" spans="1:32" s="32" customFormat="1" ht="20.100000000000001" customHeight="1" x14ac:dyDescent="0.25">
      <c r="B7" s="147"/>
      <c r="C7" s="385" t="s">
        <v>249</v>
      </c>
      <c r="D7" s="149"/>
      <c r="E7" s="14"/>
      <c r="F7" s="15"/>
      <c r="G7" s="15"/>
      <c r="H7" s="15"/>
      <c r="I7" s="15"/>
      <c r="J7" s="15"/>
      <c r="K7" s="15"/>
      <c r="L7" s="15"/>
      <c r="M7" s="15"/>
      <c r="N7" s="15"/>
      <c r="O7" s="149"/>
      <c r="P7" s="149"/>
      <c r="Q7" s="23"/>
      <c r="R7" s="23"/>
      <c r="S7" s="23"/>
      <c r="T7" s="23"/>
    </row>
    <row r="8" spans="1:32" s="32" customFormat="1" ht="9.9499999999999993" customHeight="1" x14ac:dyDescent="0.25">
      <c r="B8" s="147"/>
      <c r="C8" s="20"/>
      <c r="D8" s="149"/>
      <c r="E8" s="14"/>
      <c r="F8" s="15"/>
      <c r="G8" s="15"/>
      <c r="H8" s="15"/>
      <c r="I8" s="15"/>
      <c r="J8" s="15"/>
      <c r="K8" s="15"/>
      <c r="L8" s="15"/>
      <c r="M8" s="15"/>
      <c r="N8" s="15"/>
      <c r="O8" s="149"/>
      <c r="P8" s="149"/>
      <c r="Q8" s="23"/>
      <c r="R8" s="23"/>
      <c r="S8" s="23"/>
      <c r="T8" s="23"/>
    </row>
    <row r="9" spans="1:32" s="32" customFormat="1" ht="45.75" customHeight="1" x14ac:dyDescent="0.25">
      <c r="B9" s="147" t="s">
        <v>99</v>
      </c>
      <c r="C9" s="766" t="s">
        <v>530</v>
      </c>
      <c r="D9" s="766"/>
      <c r="E9" s="766"/>
      <c r="F9" s="766"/>
      <c r="G9" s="766"/>
      <c r="H9" s="766"/>
      <c r="I9" s="766"/>
      <c r="J9" s="766"/>
      <c r="K9" s="766"/>
      <c r="L9" s="766"/>
      <c r="M9" s="766"/>
      <c r="N9" s="766"/>
      <c r="O9" s="766"/>
      <c r="P9" s="766"/>
      <c r="Q9" s="766"/>
      <c r="R9" s="766"/>
      <c r="S9" s="766"/>
      <c r="T9" s="766"/>
    </row>
    <row r="10" spans="1:32" s="32" customFormat="1" ht="9.9499999999999993" customHeight="1" x14ac:dyDescent="0.25">
      <c r="B10" s="147"/>
      <c r="C10" s="20"/>
      <c r="D10" s="148"/>
      <c r="E10" s="14"/>
      <c r="F10" s="15"/>
      <c r="G10" s="15"/>
      <c r="H10" s="15"/>
      <c r="I10" s="15"/>
      <c r="J10" s="15"/>
      <c r="K10" s="15"/>
      <c r="L10" s="15"/>
      <c r="M10" s="15"/>
      <c r="N10" s="15"/>
      <c r="O10" s="149"/>
      <c r="P10" s="148"/>
    </row>
    <row r="11" spans="1:32" s="32" customFormat="1" ht="20.100000000000001" customHeight="1" x14ac:dyDescent="0.25">
      <c r="B11" s="28" t="s">
        <v>100</v>
      </c>
      <c r="C11" s="771" t="s">
        <v>560</v>
      </c>
      <c r="D11" s="771"/>
      <c r="E11" s="771"/>
      <c r="F11" s="771"/>
      <c r="G11" s="771"/>
      <c r="H11" s="771"/>
      <c r="I11" s="771"/>
      <c r="J11" s="771"/>
      <c r="K11" s="771"/>
      <c r="L11" s="771"/>
      <c r="M11" s="771"/>
      <c r="N11" s="771"/>
      <c r="O11" s="771"/>
      <c r="P11" s="771"/>
      <c r="Q11" s="771"/>
      <c r="R11" s="771"/>
      <c r="S11" s="771"/>
    </row>
    <row r="12" spans="1:32" s="32" customFormat="1" ht="9.9499999999999993" customHeight="1" x14ac:dyDescent="0.25">
      <c r="B12" s="147"/>
      <c r="C12" s="20"/>
      <c r="D12" s="148"/>
      <c r="E12" s="150"/>
      <c r="F12" s="150"/>
      <c r="G12" s="150"/>
      <c r="H12" s="150"/>
      <c r="I12" s="150"/>
      <c r="J12" s="150"/>
      <c r="K12" s="150"/>
      <c r="L12" s="150"/>
      <c r="M12" s="150"/>
      <c r="N12" s="150"/>
      <c r="O12" s="150"/>
      <c r="P12" s="150"/>
    </row>
    <row r="13" spans="1:32" s="32" customFormat="1" ht="20.100000000000001" customHeight="1" x14ac:dyDescent="0.25">
      <c r="B13" s="147" t="s">
        <v>101</v>
      </c>
      <c r="C13" s="767" t="s">
        <v>557</v>
      </c>
      <c r="D13" s="767"/>
      <c r="E13" s="767"/>
      <c r="F13" s="767"/>
      <c r="G13" s="767"/>
      <c r="H13" s="767"/>
      <c r="I13" s="767"/>
      <c r="J13" s="767"/>
      <c r="K13" s="767"/>
      <c r="L13" s="767"/>
      <c r="M13" s="767"/>
      <c r="N13" s="767"/>
      <c r="O13" s="767"/>
      <c r="P13" s="767"/>
      <c r="Q13" s="767"/>
      <c r="R13" s="767"/>
      <c r="S13" s="767"/>
      <c r="T13" s="767"/>
    </row>
    <row r="14" spans="1:32" s="32" customFormat="1" ht="20.100000000000001" customHeight="1" x14ac:dyDescent="0.25">
      <c r="B14" s="147"/>
      <c r="C14" s="773" t="s">
        <v>467</v>
      </c>
      <c r="D14" s="773"/>
      <c r="E14" s="773"/>
      <c r="F14" s="773"/>
      <c r="G14" s="773"/>
      <c r="H14" s="773"/>
      <c r="I14" s="773"/>
      <c r="J14" s="773"/>
      <c r="K14" s="773"/>
      <c r="L14" s="773"/>
      <c r="M14" s="773"/>
      <c r="N14" s="773"/>
      <c r="O14" s="773"/>
      <c r="P14" s="773"/>
      <c r="Q14" s="773"/>
      <c r="R14" s="773"/>
      <c r="S14" s="773"/>
      <c r="T14" s="773"/>
    </row>
    <row r="15" spans="1:32" s="32" customFormat="1" ht="9.9499999999999993" customHeight="1" x14ac:dyDescent="0.25">
      <c r="B15" s="147"/>
      <c r="C15" s="20"/>
      <c r="D15" s="148"/>
      <c r="E15" s="14"/>
      <c r="F15" s="15"/>
      <c r="G15" s="15"/>
      <c r="H15" s="15"/>
      <c r="I15" s="15"/>
      <c r="J15" s="15"/>
      <c r="K15" s="15"/>
      <c r="L15" s="15"/>
      <c r="M15" s="15"/>
      <c r="N15" s="15"/>
      <c r="O15" s="149"/>
      <c r="P15" s="148"/>
    </row>
    <row r="16" spans="1:32" s="32" customFormat="1" ht="32.25" customHeight="1" x14ac:dyDescent="0.25">
      <c r="B16" s="147" t="s">
        <v>102</v>
      </c>
      <c r="C16" s="772" t="s">
        <v>559</v>
      </c>
      <c r="D16" s="772"/>
      <c r="E16" s="772"/>
      <c r="F16" s="772"/>
      <c r="G16" s="772"/>
      <c r="H16" s="772"/>
      <c r="I16" s="772"/>
      <c r="J16" s="772"/>
      <c r="K16" s="772"/>
      <c r="L16" s="772"/>
      <c r="M16" s="772"/>
      <c r="N16" s="772"/>
      <c r="O16" s="772"/>
      <c r="P16" s="772"/>
      <c r="Q16" s="772"/>
      <c r="R16" s="772"/>
      <c r="S16" s="772"/>
      <c r="T16" s="772"/>
    </row>
    <row r="17" spans="1:32" s="32" customFormat="1" ht="9.9499999999999993" customHeight="1" x14ac:dyDescent="0.25">
      <c r="B17" s="147"/>
      <c r="C17" s="20"/>
      <c r="D17" s="148"/>
      <c r="E17" s="14"/>
      <c r="F17" s="15"/>
      <c r="G17" s="15"/>
      <c r="H17" s="15"/>
      <c r="I17" s="15"/>
      <c r="J17" s="15"/>
      <c r="K17" s="15"/>
      <c r="L17" s="15"/>
      <c r="M17" s="15"/>
      <c r="N17" s="15"/>
      <c r="O17" s="149"/>
      <c r="P17" s="148"/>
    </row>
    <row r="18" spans="1:32" s="32" customFormat="1" ht="20.100000000000001" customHeight="1" x14ac:dyDescent="0.25">
      <c r="B18" s="147" t="s">
        <v>425</v>
      </c>
      <c r="C18" s="772" t="s">
        <v>561</v>
      </c>
      <c r="D18" s="772"/>
      <c r="E18" s="772"/>
      <c r="F18" s="772"/>
      <c r="G18" s="772"/>
      <c r="H18" s="772"/>
      <c r="I18" s="772"/>
      <c r="J18" s="772"/>
      <c r="K18" s="772"/>
      <c r="L18" s="772"/>
      <c r="M18" s="772"/>
      <c r="N18" s="772"/>
      <c r="O18" s="772"/>
      <c r="P18" s="772"/>
      <c r="Q18" s="772"/>
      <c r="R18" s="772"/>
      <c r="S18" s="772"/>
      <c r="T18" s="772"/>
    </row>
    <row r="19" spans="1:32" s="32" customFormat="1" ht="29.25" customHeight="1" x14ac:dyDescent="0.25">
      <c r="B19" s="147"/>
      <c r="C19" s="772" t="s">
        <v>535</v>
      </c>
      <c r="D19" s="772"/>
      <c r="E19" s="772"/>
      <c r="F19" s="772"/>
      <c r="G19" s="772"/>
      <c r="H19" s="772"/>
      <c r="I19" s="772"/>
      <c r="J19" s="772"/>
      <c r="K19" s="772"/>
      <c r="L19" s="772"/>
      <c r="M19" s="772"/>
      <c r="N19" s="772"/>
      <c r="O19" s="772"/>
      <c r="P19" s="772"/>
      <c r="Q19" s="772"/>
      <c r="R19" s="772"/>
      <c r="S19" s="772"/>
      <c r="T19" s="772"/>
    </row>
    <row r="20" spans="1:32" s="32" customFormat="1" ht="9.9499999999999993" customHeight="1" x14ac:dyDescent="0.25">
      <c r="B20" s="147"/>
      <c r="C20" s="20"/>
      <c r="D20" s="148"/>
      <c r="E20" s="150"/>
      <c r="F20" s="150"/>
      <c r="G20" s="150"/>
      <c r="H20" s="150"/>
      <c r="I20" s="150"/>
      <c r="J20" s="150"/>
      <c r="K20" s="150"/>
      <c r="L20" s="150"/>
      <c r="M20" s="150"/>
      <c r="N20" s="150"/>
      <c r="O20" s="150"/>
      <c r="P20" s="150"/>
    </row>
    <row r="21" spans="1:32" s="32" customFormat="1" ht="20.100000000000001" customHeight="1" x14ac:dyDescent="0.25">
      <c r="B21" s="28" t="s">
        <v>469</v>
      </c>
      <c r="C21" s="770" t="s">
        <v>447</v>
      </c>
      <c r="D21" s="769"/>
      <c r="E21" s="769"/>
      <c r="F21" s="769"/>
      <c r="G21" s="769"/>
      <c r="H21" s="769"/>
      <c r="I21" s="769"/>
      <c r="J21" s="769"/>
      <c r="K21" s="769"/>
      <c r="L21" s="769"/>
      <c r="M21" s="769"/>
      <c r="N21" s="769"/>
      <c r="O21" s="769"/>
      <c r="P21" s="769"/>
      <c r="Q21" s="769"/>
      <c r="R21" s="769"/>
      <c r="S21" s="769"/>
      <c r="T21" s="769"/>
    </row>
    <row r="22" spans="1:32" s="32" customFormat="1" ht="35.25" customHeight="1" x14ac:dyDescent="0.25">
      <c r="B22" s="28"/>
      <c r="C22" s="767" t="s">
        <v>558</v>
      </c>
      <c r="D22" s="768"/>
      <c r="E22" s="768"/>
      <c r="F22" s="768"/>
      <c r="G22" s="768"/>
      <c r="H22" s="768"/>
      <c r="I22" s="768"/>
      <c r="J22" s="768"/>
      <c r="K22" s="768"/>
      <c r="L22" s="768"/>
      <c r="M22" s="768"/>
      <c r="N22" s="768"/>
      <c r="O22" s="768"/>
      <c r="P22" s="768"/>
      <c r="Q22" s="768"/>
      <c r="R22" s="768"/>
      <c r="S22" s="768"/>
      <c r="T22" s="768"/>
    </row>
    <row r="23" spans="1:32" s="32" customFormat="1" ht="37.5" customHeight="1" x14ac:dyDescent="0.25">
      <c r="B23" s="28"/>
      <c r="C23" s="767" t="s">
        <v>468</v>
      </c>
      <c r="D23" s="769"/>
      <c r="E23" s="769"/>
      <c r="F23" s="769"/>
      <c r="G23" s="769"/>
      <c r="H23" s="769"/>
      <c r="I23" s="769"/>
      <c r="J23" s="769"/>
      <c r="K23" s="769"/>
      <c r="L23" s="769"/>
      <c r="M23" s="769"/>
      <c r="N23" s="769"/>
      <c r="O23" s="769"/>
      <c r="P23" s="769"/>
      <c r="Q23" s="769"/>
      <c r="R23" s="769"/>
      <c r="S23" s="769"/>
      <c r="T23" s="769"/>
    </row>
    <row r="24" spans="1:32" s="32" customFormat="1" ht="15.75" customHeight="1" x14ac:dyDescent="0.25">
      <c r="B24" s="28"/>
      <c r="C24" s="379" t="s">
        <v>429</v>
      </c>
      <c r="D24" s="353"/>
      <c r="E24" s="353"/>
      <c r="F24" s="353"/>
      <c r="G24" s="353"/>
      <c r="H24" s="353"/>
      <c r="I24" s="353"/>
      <c r="J24" s="353"/>
      <c r="K24" s="353"/>
      <c r="L24" s="353"/>
      <c r="M24" s="353"/>
      <c r="N24" s="353"/>
      <c r="O24" s="353"/>
      <c r="P24" s="353"/>
      <c r="Q24" s="353"/>
      <c r="R24" s="353"/>
      <c r="S24" s="353"/>
      <c r="T24" s="23"/>
    </row>
    <row r="25" spans="1:32" s="32" customFormat="1" ht="15.75" customHeight="1" x14ac:dyDescent="0.25">
      <c r="B25" s="28"/>
      <c r="C25" s="380" t="s">
        <v>430</v>
      </c>
      <c r="D25" s="353"/>
      <c r="E25" s="353"/>
      <c r="F25" s="353"/>
      <c r="G25" s="353"/>
      <c r="H25" s="353"/>
      <c r="I25" s="353"/>
      <c r="J25" s="353"/>
      <c r="K25" s="353"/>
      <c r="L25" s="353"/>
      <c r="M25" s="353"/>
      <c r="N25" s="353"/>
      <c r="O25" s="353"/>
      <c r="P25" s="353"/>
      <c r="Q25" s="353"/>
      <c r="R25" s="353"/>
      <c r="S25" s="353"/>
      <c r="T25" s="23"/>
    </row>
    <row r="26" spans="1:32" s="291" customFormat="1" ht="15.75" customHeight="1" x14ac:dyDescent="0.25">
      <c r="C26" s="381" t="s">
        <v>426</v>
      </c>
      <c r="D26" s="382"/>
      <c r="E26" s="136"/>
      <c r="F26" s="136"/>
      <c r="G26" s="136"/>
      <c r="H26" s="136"/>
      <c r="I26" s="383"/>
      <c r="J26" s="382"/>
      <c r="K26" s="382"/>
      <c r="L26" s="382"/>
      <c r="M26" s="382"/>
      <c r="N26" s="382"/>
      <c r="O26" s="382"/>
      <c r="P26" s="382"/>
      <c r="Q26" s="382"/>
      <c r="R26" s="382"/>
      <c r="S26" s="382"/>
      <c r="T26" s="382"/>
      <c r="W26" s="292"/>
      <c r="X26" s="292"/>
      <c r="Y26" s="292"/>
      <c r="AD26" s="292"/>
      <c r="AE26" s="292"/>
      <c r="AF26" s="292"/>
    </row>
    <row r="27" spans="1:32" s="290" customFormat="1" ht="15.75" customHeight="1" x14ac:dyDescent="0.25">
      <c r="C27" s="380" t="s">
        <v>427</v>
      </c>
      <c r="D27" s="384"/>
      <c r="E27" s="384"/>
      <c r="F27" s="384"/>
      <c r="G27" s="384"/>
      <c r="H27" s="384"/>
      <c r="I27" s="384"/>
      <c r="J27" s="384"/>
      <c r="K27" s="384"/>
      <c r="L27" s="384"/>
      <c r="M27" s="384"/>
      <c r="N27" s="384"/>
      <c r="O27" s="384"/>
      <c r="P27" s="384"/>
      <c r="Q27" s="384"/>
      <c r="R27" s="384"/>
      <c r="S27" s="384"/>
      <c r="T27" s="384"/>
    </row>
    <row r="28" spans="1:32" s="1" customFormat="1" ht="15.75" customHeight="1" x14ac:dyDescent="0.25">
      <c r="B28" s="28"/>
      <c r="C28" s="380" t="s">
        <v>428</v>
      </c>
      <c r="D28" s="17"/>
      <c r="E28" s="17"/>
      <c r="F28" s="17"/>
      <c r="G28" s="17"/>
      <c r="H28" s="17"/>
      <c r="I28" s="17"/>
      <c r="J28" s="17"/>
      <c r="K28" s="17"/>
      <c r="L28" s="17"/>
      <c r="M28" s="17"/>
      <c r="N28" s="17"/>
      <c r="O28" s="17"/>
      <c r="P28" s="17"/>
      <c r="Q28" s="17"/>
      <c r="R28" s="17"/>
      <c r="S28" s="17"/>
      <c r="T28" s="17"/>
    </row>
    <row r="29" spans="1:32" s="1" customFormat="1" ht="15" x14ac:dyDescent="0.25">
      <c r="A29" s="291"/>
      <c r="B29" s="291"/>
    </row>
    <row r="30" spans="1:32" s="293" customFormat="1" ht="15" x14ac:dyDescent="0.25">
      <c r="A30" s="22"/>
      <c r="B30" s="21" t="s">
        <v>12</v>
      </c>
    </row>
    <row r="31" spans="1:32" s="1" customFormat="1" x14ac:dyDescent="0.25">
      <c r="B31" s="28"/>
    </row>
  </sheetData>
  <sheetProtection algorithmName="SHA-512" hashValue="UVG+BHrJUM0WNbrm/ve9UoU6zL20r8QIV6Qe4aFJA/1l3i7A47PMiUeDJUHyHs+slF0M6N2widxiiR4UcO0vxA==" saltValue="ADkFfDA3tJKhkR/FgVHVPw==" spinCount="100000" sheet="1" objects="1" scenarios="1"/>
  <mergeCells count="10">
    <mergeCell ref="C9:T9"/>
    <mergeCell ref="C22:T22"/>
    <mergeCell ref="C23:T23"/>
    <mergeCell ref="C21:T21"/>
    <mergeCell ref="C11:S11"/>
    <mergeCell ref="C19:T19"/>
    <mergeCell ref="C14:T14"/>
    <mergeCell ref="C13:T13"/>
    <mergeCell ref="C16:T16"/>
    <mergeCell ref="C18:T1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CT60"/>
  <sheetViews>
    <sheetView showGridLines="0" zoomScale="80" zoomScaleNormal="80" workbookViewId="0">
      <pane xSplit="8" topLeftCell="I1" activePane="topRight" state="frozen"/>
      <selection activeCell="A2" sqref="A2"/>
      <selection pane="topRight" activeCell="D2" sqref="D2"/>
    </sheetView>
  </sheetViews>
  <sheetFormatPr baseColWidth="10" defaultColWidth="11.42578125" defaultRowHeight="15" x14ac:dyDescent="0.25"/>
  <cols>
    <col min="1" max="1" width="1.5703125" style="7" customWidth="1"/>
    <col min="2" max="2" width="25.7109375" style="7" hidden="1" customWidth="1"/>
    <col min="3" max="3" width="20.7109375" style="7" hidden="1" customWidth="1"/>
    <col min="4" max="4" width="25.7109375" style="7" customWidth="1"/>
    <col min="5" max="5" width="12.7109375" style="7" hidden="1" customWidth="1"/>
    <col min="6" max="6" width="12.7109375" style="7" customWidth="1"/>
    <col min="7" max="7" width="15.7109375" style="7" hidden="1" customWidth="1"/>
    <col min="8" max="8" width="45.7109375" style="7" customWidth="1"/>
    <col min="9" max="9" width="40.7109375" style="7" customWidth="1"/>
    <col min="10" max="10" width="14.5703125" style="12" customWidth="1"/>
    <col min="11" max="11" width="13.85546875" style="321" customWidth="1"/>
    <col min="12" max="12" width="33" style="433" hidden="1" customWidth="1"/>
    <col min="13" max="13" width="39.85546875" style="433" hidden="1" customWidth="1"/>
    <col min="14" max="14" width="14.7109375" style="12" customWidth="1"/>
    <col min="15" max="15" width="10.7109375" style="12" hidden="1" customWidth="1"/>
    <col min="16" max="16" width="15.42578125" style="321" customWidth="1"/>
    <col min="17" max="17" width="15.42578125" style="321" hidden="1" customWidth="1"/>
    <col min="18" max="18" width="15.140625" style="12" customWidth="1"/>
    <col min="19" max="19" width="14" style="12" hidden="1" customWidth="1"/>
    <col min="20" max="20" width="13.140625" style="12" customWidth="1"/>
    <col min="21" max="21" width="15.42578125" style="459" hidden="1" customWidth="1"/>
    <col min="22" max="22" width="12.7109375" style="660" hidden="1" customWidth="1"/>
    <col min="23" max="23" width="12.5703125" style="458" hidden="1" customWidth="1"/>
    <col min="24" max="24" width="14.7109375" style="458" hidden="1" customWidth="1"/>
    <col min="25" max="25" width="13.85546875" style="458" hidden="1" customWidth="1"/>
    <col min="26" max="26" width="10.7109375" style="452" hidden="1" customWidth="1"/>
    <col min="27" max="27" width="11.7109375" style="452" hidden="1" customWidth="1"/>
    <col min="28" max="29" width="13.28515625" style="452" hidden="1" customWidth="1"/>
    <col min="30" max="30" width="12.42578125" style="452" hidden="1" customWidth="1"/>
    <col min="31" max="31" width="10.7109375" style="452" hidden="1" customWidth="1"/>
    <col min="32" max="32" width="12.140625" style="452" hidden="1" customWidth="1"/>
    <col min="33" max="33" width="14.140625" style="452" hidden="1" customWidth="1"/>
    <col min="34" max="34" width="10.7109375" style="452" hidden="1" customWidth="1"/>
    <col min="35" max="35" width="12.42578125" style="452" hidden="1" customWidth="1"/>
    <col min="36" max="36" width="13.7109375" style="452" hidden="1" customWidth="1"/>
    <col min="37" max="37" width="12.5703125" style="452" hidden="1" customWidth="1"/>
    <col min="38" max="38" width="12.85546875" hidden="1" customWidth="1"/>
    <col min="39" max="39" width="10.7109375" hidden="1" customWidth="1"/>
    <col min="40" max="40" width="12" hidden="1" customWidth="1"/>
    <col min="41" max="41" width="14.28515625" hidden="1" customWidth="1"/>
    <col min="42" max="42" width="10.7109375" hidden="1" customWidth="1"/>
    <col min="43" max="43" width="11.7109375" hidden="1" customWidth="1"/>
    <col min="44" max="44" width="13.85546875" hidden="1" customWidth="1"/>
    <col min="45" max="45" width="13.28515625" hidden="1" customWidth="1"/>
    <col min="46" max="46" width="13.85546875" hidden="1" customWidth="1" collapsed="1"/>
    <col min="47" max="47" width="10.7109375" hidden="1" customWidth="1"/>
    <col min="48" max="48" width="12" hidden="1" customWidth="1"/>
    <col min="49" max="49" width="13.85546875" style="452" hidden="1" customWidth="1"/>
    <col min="50" max="50" width="10.7109375" style="452" hidden="1" customWidth="1"/>
    <col min="51" max="52" width="13.85546875" style="452" hidden="1" customWidth="1"/>
    <col min="53" max="53" width="12.85546875" style="452" hidden="1" customWidth="1"/>
    <col min="54" max="54" width="16.7109375" style="452" hidden="1" customWidth="1"/>
    <col min="55" max="55" width="13.42578125" style="605" hidden="1" customWidth="1"/>
    <col min="56" max="56" width="12.7109375" style="310" customWidth="1"/>
    <col min="57" max="57" width="13.140625" style="2" hidden="1" customWidth="1"/>
    <col min="58" max="58" width="16" style="2" hidden="1" customWidth="1"/>
    <col min="59" max="59" width="14.28515625" style="2" hidden="1" customWidth="1"/>
    <col min="60" max="60" width="15.42578125" style="7" hidden="1" customWidth="1"/>
    <col min="61" max="61" width="10.7109375" style="7" hidden="1" customWidth="1"/>
    <col min="62" max="62" width="28.85546875" style="7" customWidth="1"/>
    <col min="63" max="63" width="10.7109375" style="7" customWidth="1"/>
    <col min="64" max="64" width="16.42578125" style="27" hidden="1" customWidth="1"/>
    <col min="65" max="65" width="10.7109375" style="27" hidden="1" customWidth="1"/>
    <col min="66" max="66" width="12.7109375" style="7" hidden="1" customWidth="1"/>
    <col min="67" max="67" width="15.42578125" style="7" hidden="1" customWidth="1"/>
    <col min="68" max="68" width="16" style="38" hidden="1" customWidth="1"/>
    <col min="69" max="69" width="12.85546875" style="330" hidden="1" customWidth="1"/>
    <col min="70" max="70" width="17.140625" style="7" customWidth="1"/>
    <col min="71" max="71" width="10.7109375" style="7" customWidth="1"/>
    <col min="72" max="72" width="18.42578125" style="7" customWidth="1"/>
    <col min="73" max="73" width="10.7109375" style="7" customWidth="1"/>
    <col min="74" max="74" width="12.5703125" style="7" customWidth="1"/>
    <col min="75" max="75" width="10.7109375" style="7" customWidth="1"/>
    <col min="76" max="76" width="14.42578125" style="458" hidden="1" customWidth="1"/>
    <col min="77" max="82" width="9.7109375" style="458" hidden="1" customWidth="1"/>
    <col min="83" max="83" width="12.42578125" style="458" hidden="1" customWidth="1"/>
    <col min="84" max="84" width="13.28515625" style="458" hidden="1" customWidth="1"/>
    <col min="85" max="85" width="11.140625" style="458" hidden="1" customWidth="1"/>
    <col min="86" max="86" width="11.140625" style="496" hidden="1" customWidth="1"/>
    <col min="87" max="87" width="10.42578125" style="433" hidden="1" customWidth="1"/>
    <col min="88" max="88" width="10.7109375" style="7" customWidth="1"/>
    <col min="89" max="89" width="10.42578125" style="433" hidden="1" customWidth="1"/>
    <col min="90" max="90" width="11.42578125" style="7" hidden="1" customWidth="1"/>
    <col min="91" max="91" width="11.42578125" style="433" hidden="1" customWidth="1"/>
    <col min="92" max="92" width="16.140625" style="7" hidden="1" customWidth="1"/>
    <col min="93" max="93" width="16.140625" style="433" hidden="1" customWidth="1"/>
    <col min="94" max="94" width="15.85546875" style="13" hidden="1" customWidth="1"/>
    <col min="95" max="95" width="15.85546875" style="433" hidden="1" customWidth="1"/>
    <col min="96" max="96" width="16.5703125" style="685" hidden="1" customWidth="1"/>
    <col min="97" max="97" width="15.85546875" style="433" hidden="1" customWidth="1"/>
    <col min="98" max="98" width="17.7109375" style="433" customWidth="1"/>
    <col min="99" max="16384" width="11.42578125" style="7"/>
  </cols>
  <sheetData>
    <row r="1" spans="1:98" s="18" customFormat="1" ht="9.9499999999999993" customHeight="1" x14ac:dyDescent="0.25">
      <c r="A1" s="23"/>
      <c r="B1" s="23"/>
      <c r="C1" s="23"/>
      <c r="D1" s="23"/>
      <c r="E1" s="23"/>
      <c r="F1" s="23"/>
      <c r="G1" s="23"/>
      <c r="H1" s="17"/>
      <c r="I1" s="17"/>
      <c r="J1" s="121"/>
      <c r="K1" s="306"/>
      <c r="L1" s="359"/>
      <c r="M1" s="359"/>
      <c r="N1" s="17"/>
      <c r="O1" s="17"/>
      <c r="P1" s="306"/>
      <c r="Q1" s="306"/>
      <c r="R1" s="17"/>
      <c r="S1" s="17"/>
      <c r="T1" s="17"/>
      <c r="U1" s="446"/>
      <c r="V1" s="656"/>
      <c r="W1" s="446"/>
      <c r="X1" s="446"/>
      <c r="Y1" s="446"/>
      <c r="Z1" s="446"/>
      <c r="AA1" s="446"/>
      <c r="AB1" s="446"/>
      <c r="AC1" s="446"/>
      <c r="AD1" s="446"/>
      <c r="AE1" s="446"/>
      <c r="AF1" s="446"/>
      <c r="AG1" s="446"/>
      <c r="AH1" s="446"/>
      <c r="AI1" s="446"/>
      <c r="AJ1" s="446"/>
      <c r="AK1" s="446"/>
      <c r="AL1" s="525"/>
      <c r="AM1" s="475"/>
      <c r="AN1" s="475"/>
      <c r="AO1" s="446"/>
      <c r="AP1" s="446"/>
      <c r="AQ1" s="446"/>
      <c r="AR1" s="446"/>
      <c r="AS1" s="446"/>
      <c r="AT1" s="475"/>
      <c r="AU1" s="475"/>
      <c r="AV1" s="475"/>
      <c r="AW1" s="446"/>
      <c r="AX1" s="446"/>
      <c r="AY1" s="446"/>
      <c r="AZ1" s="446"/>
      <c r="BA1" s="446"/>
      <c r="BB1" s="446"/>
      <c r="BC1" s="526"/>
      <c r="BD1" s="306"/>
      <c r="BE1" s="17"/>
      <c r="BF1" s="17"/>
      <c r="BG1" s="17"/>
      <c r="BL1" s="122"/>
      <c r="BM1" s="122"/>
      <c r="BP1" s="123"/>
      <c r="BQ1" s="323"/>
      <c r="BX1" s="475"/>
      <c r="BY1" s="475"/>
      <c r="BZ1" s="475"/>
      <c r="CA1" s="475"/>
      <c r="CB1" s="475"/>
      <c r="CC1" s="475"/>
      <c r="CD1" s="475"/>
      <c r="CE1" s="475"/>
      <c r="CF1" s="475"/>
      <c r="CG1" s="475"/>
      <c r="CH1" s="490"/>
      <c r="CI1" s="425"/>
      <c r="CK1" s="425"/>
      <c r="CM1" s="425"/>
      <c r="CO1" s="425"/>
      <c r="CP1" s="124"/>
      <c r="CQ1" s="425"/>
      <c r="CR1" s="676"/>
      <c r="CS1" s="425"/>
      <c r="CT1" s="425"/>
    </row>
    <row r="2" spans="1:98" s="16" customFormat="1" ht="21" x14ac:dyDescent="0.35">
      <c r="C2" s="5"/>
      <c r="D2" s="5" t="s">
        <v>251</v>
      </c>
      <c r="E2" s="5"/>
      <c r="F2" s="5"/>
      <c r="G2" s="5"/>
      <c r="J2" s="125"/>
      <c r="K2" s="24"/>
      <c r="L2" s="460"/>
      <c r="M2" s="460"/>
      <c r="N2" s="24"/>
      <c r="O2" s="24"/>
      <c r="P2" s="24"/>
      <c r="Q2" s="24"/>
      <c r="R2" s="24"/>
      <c r="S2" s="24"/>
      <c r="T2" s="24"/>
      <c r="U2" s="447"/>
      <c r="V2" s="527"/>
      <c r="W2" s="447"/>
      <c r="X2" s="447"/>
      <c r="Y2" s="447"/>
      <c r="Z2" s="447"/>
      <c r="AA2" s="447"/>
      <c r="AB2" s="447"/>
      <c r="AC2" s="447"/>
      <c r="AD2" s="447"/>
      <c r="AE2" s="447"/>
      <c r="AF2" s="447"/>
      <c r="AG2" s="447"/>
      <c r="AH2" s="447"/>
      <c r="AI2" s="447"/>
      <c r="AJ2" s="447"/>
      <c r="AK2" s="447"/>
      <c r="AL2" s="527"/>
      <c r="AM2" s="447"/>
      <c r="AN2" s="447"/>
      <c r="AO2" s="447"/>
      <c r="AP2" s="447"/>
      <c r="AQ2" s="447"/>
      <c r="AR2" s="447"/>
      <c r="AS2" s="447"/>
      <c r="AT2" s="447"/>
      <c r="AU2" s="447"/>
      <c r="AV2" s="447"/>
      <c r="AW2" s="447"/>
      <c r="AX2" s="447"/>
      <c r="AY2" s="447"/>
      <c r="AZ2" s="476"/>
      <c r="BA2" s="447"/>
      <c r="BB2" s="476"/>
      <c r="BC2" s="528"/>
      <c r="BD2" s="5"/>
      <c r="BL2" s="126"/>
      <c r="BM2" s="126"/>
      <c r="BP2" s="127"/>
      <c r="BQ2" s="324"/>
      <c r="BX2" s="476"/>
      <c r="BY2" s="476"/>
      <c r="BZ2" s="476"/>
      <c r="CA2" s="476"/>
      <c r="CB2" s="476"/>
      <c r="CC2" s="476"/>
      <c r="CD2" s="476"/>
      <c r="CE2" s="476"/>
      <c r="CF2" s="476"/>
      <c r="CG2" s="476"/>
      <c r="CH2" s="491"/>
      <c r="CI2" s="426"/>
      <c r="CK2" s="426"/>
      <c r="CM2" s="426"/>
      <c r="CO2" s="426"/>
      <c r="CP2" s="128"/>
      <c r="CQ2" s="426"/>
      <c r="CR2" s="677"/>
      <c r="CS2" s="426"/>
      <c r="CT2" s="426"/>
    </row>
    <row r="3" spans="1:98" s="18" customFormat="1" ht="5.0999999999999996" customHeight="1" x14ac:dyDescent="0.3">
      <c r="A3" s="23"/>
      <c r="C3" s="17"/>
      <c r="D3" s="17"/>
      <c r="E3" s="17"/>
      <c r="F3" s="129"/>
      <c r="G3" s="129"/>
      <c r="J3" s="121"/>
      <c r="K3" s="306"/>
      <c r="L3" s="359"/>
      <c r="M3" s="359"/>
      <c r="N3" s="17"/>
      <c r="O3" s="17"/>
      <c r="P3" s="306"/>
      <c r="Q3" s="306"/>
      <c r="R3" s="17"/>
      <c r="S3" s="17"/>
      <c r="T3" s="17"/>
      <c r="U3" s="446"/>
      <c r="V3" s="656"/>
      <c r="W3" s="446"/>
      <c r="X3" s="446"/>
      <c r="Y3" s="446"/>
      <c r="Z3" s="446"/>
      <c r="AA3" s="446"/>
      <c r="AB3" s="446"/>
      <c r="AC3" s="446"/>
      <c r="AD3" s="446"/>
      <c r="AE3" s="446"/>
      <c r="AF3" s="446"/>
      <c r="AG3" s="446"/>
      <c r="AH3" s="446"/>
      <c r="AI3" s="446"/>
      <c r="AJ3" s="446"/>
      <c r="AK3" s="446"/>
      <c r="AL3" s="525"/>
      <c r="AM3" s="475"/>
      <c r="AN3" s="475"/>
      <c r="AO3" s="446"/>
      <c r="AP3" s="446"/>
      <c r="AQ3" s="446"/>
      <c r="AR3" s="446"/>
      <c r="AS3" s="446"/>
      <c r="AT3" s="475"/>
      <c r="AU3" s="475"/>
      <c r="AV3" s="475"/>
      <c r="AW3" s="446"/>
      <c r="AX3" s="446"/>
      <c r="AY3" s="446"/>
      <c r="AZ3" s="446"/>
      <c r="BA3" s="446"/>
      <c r="BB3" s="446"/>
      <c r="BC3" s="526"/>
      <c r="BD3" s="306"/>
      <c r="BE3" s="17"/>
      <c r="BF3" s="17"/>
      <c r="BG3" s="17"/>
      <c r="BL3" s="122"/>
      <c r="BM3" s="122"/>
      <c r="BP3" s="123"/>
      <c r="BQ3" s="323"/>
      <c r="BX3" s="475"/>
      <c r="BY3" s="475"/>
      <c r="BZ3" s="475"/>
      <c r="CA3" s="475"/>
      <c r="CB3" s="475"/>
      <c r="CC3" s="475"/>
      <c r="CD3" s="475"/>
      <c r="CE3" s="475"/>
      <c r="CF3" s="475"/>
      <c r="CG3" s="475"/>
      <c r="CH3" s="490"/>
      <c r="CI3" s="425"/>
      <c r="CK3" s="425"/>
      <c r="CM3" s="425"/>
      <c r="CO3" s="425"/>
      <c r="CP3" s="124"/>
      <c r="CQ3" s="425"/>
      <c r="CR3" s="676"/>
      <c r="CS3" s="425"/>
      <c r="CT3" s="425"/>
    </row>
    <row r="4" spans="1:98" s="101" customFormat="1" ht="25.5" customHeight="1" thickBot="1" x14ac:dyDescent="0.35">
      <c r="A4" s="130"/>
      <c r="C4" s="100"/>
      <c r="D4" s="153" t="s">
        <v>83</v>
      </c>
      <c r="E4" s="100"/>
      <c r="F4" s="154"/>
      <c r="G4" s="154"/>
      <c r="H4" s="154"/>
      <c r="I4" s="154"/>
      <c r="J4" s="154"/>
      <c r="K4" s="312"/>
      <c r="L4" s="461"/>
      <c r="M4" s="461"/>
      <c r="N4" s="154"/>
      <c r="O4" s="154"/>
      <c r="P4" s="312"/>
      <c r="Q4" s="312"/>
      <c r="R4" s="154"/>
      <c r="S4" s="154"/>
      <c r="T4" s="154"/>
      <c r="U4" s="448"/>
      <c r="V4" s="657"/>
      <c r="W4" s="448"/>
      <c r="X4" s="448"/>
      <c r="Y4" s="448"/>
      <c r="Z4" s="529"/>
      <c r="AA4" s="529"/>
      <c r="AB4" s="529"/>
      <c r="AC4" s="529"/>
      <c r="AD4" s="529"/>
      <c r="AE4" s="529"/>
      <c r="AF4" s="529"/>
      <c r="AG4" s="529"/>
      <c r="AH4" s="529"/>
      <c r="AI4" s="529"/>
      <c r="AJ4" s="529"/>
      <c r="AK4" s="529"/>
      <c r="AL4" s="530"/>
      <c r="AM4" s="531"/>
      <c r="AN4" s="531"/>
      <c r="AO4" s="529"/>
      <c r="AP4" s="529"/>
      <c r="AQ4" s="529"/>
      <c r="AR4" s="529"/>
      <c r="AS4" s="529"/>
      <c r="AT4" s="531"/>
      <c r="AU4" s="531"/>
      <c r="AV4" s="531"/>
      <c r="AW4" s="529"/>
      <c r="AX4" s="529"/>
      <c r="AY4" s="529"/>
      <c r="AZ4" s="529"/>
      <c r="BA4" s="529"/>
      <c r="BB4" s="529"/>
      <c r="BC4" s="532"/>
      <c r="BD4" s="307"/>
      <c r="BE4" s="130"/>
      <c r="BF4" s="130"/>
      <c r="BG4" s="130"/>
      <c r="BH4" s="131"/>
      <c r="BI4" s="131"/>
      <c r="BJ4" s="131"/>
      <c r="BK4" s="131"/>
      <c r="BL4" s="132"/>
      <c r="BM4" s="132"/>
      <c r="BN4" s="131"/>
      <c r="BO4" s="131"/>
      <c r="BP4" s="133"/>
      <c r="BQ4" s="325"/>
      <c r="BR4" s="131"/>
      <c r="BS4" s="131"/>
      <c r="BT4" s="131"/>
      <c r="BU4" s="131"/>
      <c r="BV4" s="131"/>
      <c r="BW4" s="131"/>
      <c r="BX4" s="477"/>
      <c r="BY4" s="477"/>
      <c r="BZ4" s="477"/>
      <c r="CA4" s="477"/>
      <c r="CB4" s="477"/>
      <c r="CC4" s="477"/>
      <c r="CD4" s="477"/>
      <c r="CE4" s="477"/>
      <c r="CF4" s="477"/>
      <c r="CG4" s="477"/>
      <c r="CH4" s="492" t="s">
        <v>495</v>
      </c>
      <c r="CI4" s="427" t="s">
        <v>496</v>
      </c>
      <c r="CJ4" s="131"/>
      <c r="CK4" s="427" t="s">
        <v>496</v>
      </c>
      <c r="CL4" s="131"/>
      <c r="CM4" s="427" t="s">
        <v>496</v>
      </c>
      <c r="CN4" s="131"/>
      <c r="CO4" s="427" t="s">
        <v>496</v>
      </c>
      <c r="CP4" s="131"/>
      <c r="CQ4" s="427" t="s">
        <v>496</v>
      </c>
      <c r="CR4" s="678"/>
      <c r="CS4" s="427" t="s">
        <v>496</v>
      </c>
      <c r="CT4" s="499"/>
    </row>
    <row r="5" spans="1:98" s="140" customFormat="1" ht="91.5" customHeight="1" thickBot="1" x14ac:dyDescent="0.35">
      <c r="A5" s="139"/>
      <c r="C5" s="638"/>
      <c r="D5" s="887" t="s">
        <v>499</v>
      </c>
      <c r="E5" s="887"/>
      <c r="F5" s="887"/>
      <c r="G5" s="888"/>
      <c r="H5" s="665" t="s">
        <v>210</v>
      </c>
      <c r="I5" s="687">
        <f>+SUMIF(BD10:BD29,"&lt;&gt;#N/A",BD10:BD29)</f>
        <v>0</v>
      </c>
      <c r="J5" s="885" t="str">
        <f>+IF((I5&gt;0)*AND(I5&lt;=100),"Postulación válida",IF(I5&gt;100,"No califica. Proyecto mayor a 100 tep. Puede postularse por medidas no estandarizadas.",""))</f>
        <v/>
      </c>
      <c r="K5" s="886"/>
      <c r="L5" s="462"/>
      <c r="M5" s="462"/>
      <c r="N5" s="690" t="s">
        <v>551</v>
      </c>
      <c r="O5" s="688"/>
      <c r="P5" s="689">
        <f>+IF(J5="Postulación válida",SUM(CR10:CR29),0)</f>
        <v>0</v>
      </c>
      <c r="Q5" s="303"/>
      <c r="R5" s="138" t="s">
        <v>319</v>
      </c>
      <c r="S5" s="141"/>
      <c r="T5" s="141"/>
      <c r="U5" s="449"/>
      <c r="V5" s="449"/>
      <c r="W5" s="449"/>
      <c r="X5" s="449"/>
      <c r="Y5" s="449"/>
      <c r="Z5" s="449"/>
      <c r="AA5" s="449"/>
      <c r="AB5" s="533"/>
      <c r="AC5" s="533"/>
      <c r="AD5" s="533"/>
      <c r="AE5" s="533"/>
      <c r="AF5" s="533"/>
      <c r="AG5" s="686"/>
      <c r="AH5" s="533"/>
      <c r="AJ5" s="533"/>
      <c r="AK5" s="533"/>
      <c r="AL5" s="534"/>
      <c r="AM5" s="643"/>
      <c r="AN5" s="478"/>
      <c r="AO5" s="533"/>
      <c r="AP5" s="533"/>
      <c r="AQ5" s="533"/>
      <c r="AR5" s="533"/>
      <c r="AS5" s="533"/>
      <c r="AT5" s="478"/>
      <c r="AU5" s="478"/>
      <c r="AV5" s="478"/>
      <c r="AW5" s="533"/>
      <c r="AX5" s="533"/>
      <c r="AY5" s="533"/>
      <c r="AZ5" s="533"/>
      <c r="BA5" s="533"/>
      <c r="BB5" s="533"/>
      <c r="BC5" s="535"/>
      <c r="BE5" s="139"/>
      <c r="BF5" s="139"/>
      <c r="BG5" s="139"/>
      <c r="BL5" s="142"/>
      <c r="BM5" s="142"/>
      <c r="BP5" s="143"/>
      <c r="BQ5" s="326"/>
      <c r="BX5" s="478"/>
      <c r="BY5" s="478"/>
      <c r="BZ5" s="478"/>
      <c r="CA5" s="478"/>
      <c r="CB5" s="478"/>
      <c r="CC5" s="478"/>
      <c r="CD5" s="478"/>
      <c r="CE5" s="478"/>
      <c r="CF5" s="478"/>
      <c r="CG5" s="478"/>
      <c r="CH5" s="493"/>
      <c r="CI5" s="428"/>
      <c r="CJ5" s="303"/>
      <c r="CK5" s="428"/>
      <c r="CM5" s="499"/>
      <c r="CO5" s="499"/>
      <c r="CQ5" s="499"/>
      <c r="CR5" s="679"/>
      <c r="CS5" s="499"/>
      <c r="CT5" s="499"/>
    </row>
    <row r="6" spans="1:98" s="18" customFormat="1" ht="24.95" customHeight="1" thickBot="1" x14ac:dyDescent="0.3">
      <c r="A6" s="23"/>
      <c r="B6" s="23"/>
      <c r="C6" s="23"/>
      <c r="D6" s="23"/>
      <c r="E6" s="23"/>
      <c r="F6" s="23"/>
      <c r="G6" s="23"/>
      <c r="H6" s="17"/>
      <c r="I6" s="134"/>
      <c r="J6" s="135"/>
      <c r="K6" s="313"/>
      <c r="L6" s="468"/>
      <c r="M6" s="468"/>
      <c r="N6" s="17"/>
      <c r="O6" s="630"/>
      <c r="P6" s="313"/>
      <c r="Q6" s="313"/>
      <c r="R6" s="83"/>
      <c r="T6" s="17"/>
      <c r="U6" s="446"/>
      <c r="V6" s="658"/>
      <c r="W6" s="639"/>
      <c r="X6" s="383"/>
      <c r="Y6" s="639" t="s">
        <v>536</v>
      </c>
      <c r="Z6" s="446"/>
      <c r="AA6" s="446"/>
      <c r="AB6" s="446"/>
      <c r="AC6" s="446"/>
      <c r="AD6" s="446"/>
      <c r="AE6" s="446"/>
      <c r="AF6" s="446"/>
      <c r="AG6" s="446"/>
      <c r="AH6" s="446"/>
      <c r="AI6" s="446"/>
      <c r="AJ6" s="446"/>
      <c r="AK6" s="446"/>
      <c r="AL6" s="645"/>
      <c r="AM6" s="642" t="s">
        <v>536</v>
      </c>
      <c r="AN6" s="642"/>
      <c r="AO6" s="639" t="s">
        <v>536</v>
      </c>
      <c r="AP6" s="446"/>
      <c r="AQ6" s="446"/>
      <c r="AR6" s="446"/>
      <c r="AS6" s="446"/>
      <c r="AT6" s="536"/>
      <c r="AU6" s="536"/>
      <c r="AV6" s="536"/>
      <c r="AW6" s="446"/>
      <c r="AX6" s="446"/>
      <c r="AY6" s="446"/>
      <c r="AZ6" s="446"/>
      <c r="BA6" s="446"/>
      <c r="BB6" s="446"/>
      <c r="BC6" s="526"/>
      <c r="BD6" s="306"/>
      <c r="BE6" s="17"/>
      <c r="BF6" s="17"/>
      <c r="BG6" s="17"/>
      <c r="BH6" s="743"/>
      <c r="BJ6" s="322"/>
      <c r="BL6" s="122"/>
      <c r="BM6" s="122"/>
      <c r="BP6" s="123"/>
      <c r="BQ6" s="323"/>
      <c r="BR6" s="123"/>
      <c r="BS6" s="123"/>
      <c r="BT6" s="123"/>
      <c r="BU6" s="123"/>
      <c r="BX6" s="475"/>
      <c r="BY6" s="475"/>
      <c r="BZ6" s="475"/>
      <c r="CA6" s="475"/>
      <c r="CB6" s="475"/>
      <c r="CC6" s="475"/>
      <c r="CD6" s="475"/>
      <c r="CE6" s="475"/>
      <c r="CF6" s="475"/>
      <c r="CG6" s="475"/>
      <c r="CH6" s="490"/>
      <c r="CI6" s="425"/>
      <c r="CK6" s="425"/>
      <c r="CL6" s="137"/>
      <c r="CM6" s="399"/>
      <c r="CN6" s="137"/>
      <c r="CO6" s="399"/>
      <c r="CP6" s="124"/>
      <c r="CQ6" s="425"/>
      <c r="CR6" s="680"/>
      <c r="CS6" s="425"/>
      <c r="CT6" s="425"/>
    </row>
    <row r="7" spans="1:98" s="363" customFormat="1" ht="15.75" thickBot="1" x14ac:dyDescent="0.3">
      <c r="B7" s="879" t="str">
        <f>+'Datos Instalaciones'!B14</f>
        <v>Nombre (persona física) 
/ 
Razón social (otros)</v>
      </c>
      <c r="C7" s="879" t="str">
        <f>+'Datos Instalaciones'!C14</f>
        <v>C.I. (persona física)
/
RUT(otros)</v>
      </c>
      <c r="D7" s="882" t="str">
        <f>+'Datos Instalaciones'!E14</f>
        <v>Nombre de instalación 
(fija o móvil)</v>
      </c>
      <c r="E7" s="879" t="s">
        <v>201</v>
      </c>
      <c r="F7" s="882" t="s">
        <v>458</v>
      </c>
      <c r="G7" s="879" t="s">
        <v>451</v>
      </c>
      <c r="H7" s="882" t="s">
        <v>552</v>
      </c>
      <c r="I7" s="882" t="s">
        <v>563</v>
      </c>
      <c r="J7" s="882" t="s">
        <v>564</v>
      </c>
      <c r="K7" s="882" t="s">
        <v>355</v>
      </c>
      <c r="L7" s="896" t="s">
        <v>506</v>
      </c>
      <c r="M7" s="896" t="s">
        <v>507</v>
      </c>
      <c r="N7" s="882" t="s">
        <v>239</v>
      </c>
      <c r="O7" s="893" t="s">
        <v>25</v>
      </c>
      <c r="P7" s="882" t="s">
        <v>465</v>
      </c>
      <c r="Q7" s="896" t="s">
        <v>518</v>
      </c>
      <c r="R7" s="882" t="s">
        <v>500</v>
      </c>
      <c r="S7" s="889" t="s">
        <v>97</v>
      </c>
      <c r="T7" s="890"/>
      <c r="U7" s="841" t="s">
        <v>79</v>
      </c>
      <c r="V7" s="843" t="s">
        <v>59</v>
      </c>
      <c r="W7" s="844"/>
      <c r="X7" s="844"/>
      <c r="Y7" s="844"/>
      <c r="Z7" s="844"/>
      <c r="AA7" s="844"/>
      <c r="AB7" s="844"/>
      <c r="AC7" s="845"/>
      <c r="AD7" s="846" t="s">
        <v>59</v>
      </c>
      <c r="AE7" s="847"/>
      <c r="AF7" s="847"/>
      <c r="AG7" s="847"/>
      <c r="AH7" s="847"/>
      <c r="AI7" s="847"/>
      <c r="AJ7" s="848"/>
      <c r="AK7" s="537"/>
      <c r="AL7" s="849" t="s">
        <v>60</v>
      </c>
      <c r="AM7" s="850"/>
      <c r="AN7" s="850"/>
      <c r="AO7" s="850"/>
      <c r="AP7" s="850"/>
      <c r="AQ7" s="850"/>
      <c r="AR7" s="850"/>
      <c r="AS7" s="851"/>
      <c r="AT7" s="852" t="s">
        <v>60</v>
      </c>
      <c r="AU7" s="853"/>
      <c r="AV7" s="853"/>
      <c r="AW7" s="853"/>
      <c r="AX7" s="853"/>
      <c r="AY7" s="853"/>
      <c r="AZ7" s="853"/>
      <c r="BA7" s="854"/>
      <c r="BB7" s="821" t="s">
        <v>93</v>
      </c>
      <c r="BC7" s="833" t="s">
        <v>26</v>
      </c>
      <c r="BD7" s="834"/>
      <c r="BE7" s="834"/>
      <c r="BF7" s="834"/>
      <c r="BG7" s="835"/>
      <c r="BH7" s="836" t="s">
        <v>62</v>
      </c>
      <c r="BI7" s="837"/>
      <c r="BJ7" s="837"/>
      <c r="BK7" s="837"/>
      <c r="BL7" s="837"/>
      <c r="BM7" s="837"/>
      <c r="BN7" s="837"/>
      <c r="BO7" s="837"/>
      <c r="BP7" s="837"/>
      <c r="BQ7" s="837"/>
      <c r="BR7" s="837"/>
      <c r="BS7" s="837"/>
      <c r="BT7" s="837"/>
      <c r="BU7" s="837"/>
      <c r="BV7" s="837"/>
      <c r="BW7" s="837"/>
      <c r="BX7" s="837"/>
      <c r="BY7" s="837"/>
      <c r="BZ7" s="837"/>
      <c r="CA7" s="837"/>
      <c r="CB7" s="837"/>
      <c r="CC7" s="837"/>
      <c r="CD7" s="837"/>
      <c r="CE7" s="837"/>
      <c r="CF7" s="837"/>
      <c r="CG7" s="837"/>
      <c r="CH7" s="837"/>
      <c r="CI7" s="837"/>
      <c r="CJ7" s="838"/>
      <c r="CK7" s="502" t="s">
        <v>77</v>
      </c>
      <c r="CL7" s="503"/>
      <c r="CM7" s="503"/>
      <c r="CN7" s="503"/>
      <c r="CO7" s="503"/>
      <c r="CP7" s="503"/>
      <c r="CQ7" s="503"/>
      <c r="CR7" s="681"/>
      <c r="CS7" s="503"/>
      <c r="CT7" s="504"/>
    </row>
    <row r="8" spans="1:98" s="363" customFormat="1" ht="45.75" thickBot="1" x14ac:dyDescent="0.3">
      <c r="B8" s="880"/>
      <c r="C8" s="880"/>
      <c r="D8" s="883"/>
      <c r="E8" s="880"/>
      <c r="F8" s="883"/>
      <c r="G8" s="880"/>
      <c r="H8" s="883"/>
      <c r="I8" s="883"/>
      <c r="J8" s="883"/>
      <c r="K8" s="883"/>
      <c r="L8" s="897"/>
      <c r="M8" s="897"/>
      <c r="N8" s="883"/>
      <c r="O8" s="894"/>
      <c r="P8" s="883"/>
      <c r="Q8" s="897"/>
      <c r="R8" s="883"/>
      <c r="S8" s="891"/>
      <c r="T8" s="892"/>
      <c r="U8" s="842"/>
      <c r="V8" s="868" t="s">
        <v>21</v>
      </c>
      <c r="W8" s="870" t="s">
        <v>78</v>
      </c>
      <c r="X8" s="871"/>
      <c r="Y8" s="872" t="s">
        <v>20</v>
      </c>
      <c r="Z8" s="873"/>
      <c r="AA8" s="873"/>
      <c r="AB8" s="874"/>
      <c r="AC8" s="538" t="s">
        <v>124</v>
      </c>
      <c r="AD8" s="875" t="s">
        <v>84</v>
      </c>
      <c r="AE8" s="877" t="s">
        <v>78</v>
      </c>
      <c r="AF8" s="878"/>
      <c r="AG8" s="863" t="s">
        <v>20</v>
      </c>
      <c r="AH8" s="864"/>
      <c r="AI8" s="864"/>
      <c r="AJ8" s="865"/>
      <c r="AK8" s="539" t="s">
        <v>124</v>
      </c>
      <c r="AL8" s="866" t="s">
        <v>21</v>
      </c>
      <c r="AM8" s="855" t="s">
        <v>78</v>
      </c>
      <c r="AN8" s="856"/>
      <c r="AO8" s="857" t="s">
        <v>20</v>
      </c>
      <c r="AP8" s="858"/>
      <c r="AQ8" s="858"/>
      <c r="AR8" s="858"/>
      <c r="AS8" s="540" t="s">
        <v>537</v>
      </c>
      <c r="AT8" s="859" t="s">
        <v>84</v>
      </c>
      <c r="AU8" s="861" t="s">
        <v>78</v>
      </c>
      <c r="AV8" s="862"/>
      <c r="AW8" s="824" t="s">
        <v>20</v>
      </c>
      <c r="AX8" s="825"/>
      <c r="AY8" s="825"/>
      <c r="AZ8" s="826"/>
      <c r="BA8" s="541" t="s">
        <v>124</v>
      </c>
      <c r="BB8" s="822"/>
      <c r="BC8" s="827" t="s">
        <v>505</v>
      </c>
      <c r="BD8" s="839" t="s">
        <v>141</v>
      </c>
      <c r="BE8" s="817" t="s">
        <v>133</v>
      </c>
      <c r="BF8" s="817" t="s">
        <v>61</v>
      </c>
      <c r="BG8" s="831" t="s">
        <v>519</v>
      </c>
      <c r="BH8" s="829" t="s">
        <v>63</v>
      </c>
      <c r="BI8" s="830"/>
      <c r="BJ8" s="819" t="s">
        <v>539</v>
      </c>
      <c r="BK8" s="820"/>
      <c r="BL8" s="782" t="s">
        <v>520</v>
      </c>
      <c r="BM8" s="783"/>
      <c r="BN8" s="784" t="s">
        <v>69</v>
      </c>
      <c r="BO8" s="785"/>
      <c r="BP8" s="782" t="s">
        <v>94</v>
      </c>
      <c r="BQ8" s="785"/>
      <c r="BR8" s="780" t="s">
        <v>521</v>
      </c>
      <c r="BS8" s="781"/>
      <c r="BT8" s="811" t="s">
        <v>522</v>
      </c>
      <c r="BU8" s="781"/>
      <c r="BV8" s="812" t="s">
        <v>202</v>
      </c>
      <c r="BW8" s="813"/>
      <c r="BX8" s="479" t="s">
        <v>148</v>
      </c>
      <c r="BY8" s="782" t="s">
        <v>203</v>
      </c>
      <c r="BZ8" s="814"/>
      <c r="CA8" s="814"/>
      <c r="CB8" s="814"/>
      <c r="CC8" s="814"/>
      <c r="CD8" s="783"/>
      <c r="CE8" s="744" t="s">
        <v>204</v>
      </c>
      <c r="CF8" s="795" t="s">
        <v>149</v>
      </c>
      <c r="CG8" s="796"/>
      <c r="CH8" s="790" t="s">
        <v>497</v>
      </c>
      <c r="CI8" s="778" t="s">
        <v>498</v>
      </c>
      <c r="CJ8" s="797" t="s">
        <v>91</v>
      </c>
      <c r="CK8" s="774" t="s">
        <v>523</v>
      </c>
      <c r="CL8" s="776" t="s">
        <v>76</v>
      </c>
      <c r="CM8" s="774" t="s">
        <v>524</v>
      </c>
      <c r="CN8" s="776" t="s">
        <v>136</v>
      </c>
      <c r="CO8" s="774" t="s">
        <v>525</v>
      </c>
      <c r="CP8" s="776" t="s">
        <v>137</v>
      </c>
      <c r="CQ8" s="774" t="s">
        <v>526</v>
      </c>
      <c r="CR8" s="774" t="s">
        <v>527</v>
      </c>
      <c r="CS8" s="803" t="s">
        <v>528</v>
      </c>
      <c r="CT8" s="804" t="s">
        <v>529</v>
      </c>
    </row>
    <row r="9" spans="1:98" s="363" customFormat="1" ht="45.75" thickBot="1" x14ac:dyDescent="0.3">
      <c r="B9" s="881"/>
      <c r="C9" s="881"/>
      <c r="D9" s="884"/>
      <c r="E9" s="881"/>
      <c r="F9" s="884"/>
      <c r="G9" s="881"/>
      <c r="H9" s="884"/>
      <c r="I9" s="884"/>
      <c r="J9" s="884"/>
      <c r="K9" s="884"/>
      <c r="L9" s="775"/>
      <c r="M9" s="775"/>
      <c r="N9" s="884"/>
      <c r="O9" s="895"/>
      <c r="P9" s="884"/>
      <c r="Q9" s="897"/>
      <c r="R9" s="884"/>
      <c r="S9" s="445" t="s">
        <v>96</v>
      </c>
      <c r="T9" s="364" t="s">
        <v>130</v>
      </c>
      <c r="U9" s="842"/>
      <c r="V9" s="869"/>
      <c r="W9" s="542" t="s">
        <v>10</v>
      </c>
      <c r="X9" s="543" t="s">
        <v>131</v>
      </c>
      <c r="Y9" s="544" t="s">
        <v>57</v>
      </c>
      <c r="Z9" s="545" t="s">
        <v>18</v>
      </c>
      <c r="AA9" s="545" t="s">
        <v>23</v>
      </c>
      <c r="AB9" s="546" t="s">
        <v>132</v>
      </c>
      <c r="AC9" s="546" t="s">
        <v>538</v>
      </c>
      <c r="AD9" s="876"/>
      <c r="AE9" s="547" t="s">
        <v>10</v>
      </c>
      <c r="AF9" s="548" t="s">
        <v>131</v>
      </c>
      <c r="AG9" s="549" t="s">
        <v>57</v>
      </c>
      <c r="AH9" s="550" t="s">
        <v>18</v>
      </c>
      <c r="AI9" s="550" t="s">
        <v>23</v>
      </c>
      <c r="AJ9" s="551" t="s">
        <v>132</v>
      </c>
      <c r="AK9" s="551" t="s">
        <v>538</v>
      </c>
      <c r="AL9" s="867"/>
      <c r="AM9" s="552" t="s">
        <v>10</v>
      </c>
      <c r="AN9" s="553" t="s">
        <v>131</v>
      </c>
      <c r="AO9" s="554" t="s">
        <v>57</v>
      </c>
      <c r="AP9" s="555" t="s">
        <v>18</v>
      </c>
      <c r="AQ9" s="555" t="s">
        <v>23</v>
      </c>
      <c r="AR9" s="556" t="s">
        <v>24</v>
      </c>
      <c r="AS9" s="557" t="s">
        <v>538</v>
      </c>
      <c r="AT9" s="860"/>
      <c r="AU9" s="558" t="s">
        <v>10</v>
      </c>
      <c r="AV9" s="559" t="s">
        <v>22</v>
      </c>
      <c r="AW9" s="560" t="s">
        <v>57</v>
      </c>
      <c r="AX9" s="558" t="s">
        <v>18</v>
      </c>
      <c r="AY9" s="558" t="s">
        <v>23</v>
      </c>
      <c r="AZ9" s="561" t="s">
        <v>24</v>
      </c>
      <c r="BA9" s="562" t="s">
        <v>538</v>
      </c>
      <c r="BB9" s="823"/>
      <c r="BC9" s="828"/>
      <c r="BD9" s="840"/>
      <c r="BE9" s="818"/>
      <c r="BF9" s="818"/>
      <c r="BG9" s="832"/>
      <c r="BH9" s="741" t="s">
        <v>19</v>
      </c>
      <c r="BI9" s="741" t="s">
        <v>64</v>
      </c>
      <c r="BJ9" s="506" t="s">
        <v>72</v>
      </c>
      <c r="BK9" s="506" t="s">
        <v>64</v>
      </c>
      <c r="BL9" s="666" t="s">
        <v>73</v>
      </c>
      <c r="BM9" s="666" t="s">
        <v>64</v>
      </c>
      <c r="BN9" s="666" t="s">
        <v>73</v>
      </c>
      <c r="BO9" s="667" t="s">
        <v>64</v>
      </c>
      <c r="BP9" s="668" t="s">
        <v>75</v>
      </c>
      <c r="BQ9" s="667" t="s">
        <v>64</v>
      </c>
      <c r="BR9" s="661" t="s">
        <v>125</v>
      </c>
      <c r="BS9" s="304" t="s">
        <v>64</v>
      </c>
      <c r="BT9" s="365" t="s">
        <v>125</v>
      </c>
      <c r="BU9" s="304" t="s">
        <v>64</v>
      </c>
      <c r="BV9" s="365" t="s">
        <v>73</v>
      </c>
      <c r="BW9" s="304" t="s">
        <v>64</v>
      </c>
      <c r="BX9" s="480" t="s">
        <v>64</v>
      </c>
      <c r="BY9" s="745">
        <v>1</v>
      </c>
      <c r="BZ9" s="745">
        <v>2</v>
      </c>
      <c r="CA9" s="745">
        <v>3</v>
      </c>
      <c r="CB9" s="745">
        <v>4</v>
      </c>
      <c r="CC9" s="745">
        <v>5</v>
      </c>
      <c r="CD9" s="745">
        <v>6</v>
      </c>
      <c r="CE9" s="745" t="s">
        <v>150</v>
      </c>
      <c r="CF9" s="480" t="s">
        <v>75</v>
      </c>
      <c r="CG9" s="484" t="s">
        <v>64</v>
      </c>
      <c r="CH9" s="791"/>
      <c r="CI9" s="779"/>
      <c r="CJ9" s="798"/>
      <c r="CK9" s="775"/>
      <c r="CL9" s="777"/>
      <c r="CM9" s="775"/>
      <c r="CN9" s="777"/>
      <c r="CO9" s="775"/>
      <c r="CP9" s="777"/>
      <c r="CQ9" s="802"/>
      <c r="CR9" s="775"/>
      <c r="CS9" s="775"/>
      <c r="CT9" s="805"/>
    </row>
    <row r="10" spans="1:98" s="9" customFormat="1" ht="45" customHeight="1" thickBot="1" x14ac:dyDescent="0.3">
      <c r="B10" s="664">
        <f>'Datos Instalaciones'!B15</f>
        <v>0</v>
      </c>
      <c r="C10" s="664">
        <f>'Datos Instalaciones'!C15</f>
        <v>0</v>
      </c>
      <c r="D10" s="367" t="s">
        <v>17</v>
      </c>
      <c r="E10" s="663" t="str">
        <f>IF(D10="Seleccione","",VLOOKUP(MMEE!D10,'Datos Instalaciones'!$E$15:$AD$34,24,))</f>
        <v/>
      </c>
      <c r="F10" s="366">
        <v>1</v>
      </c>
      <c r="G10" s="663" t="s">
        <v>452</v>
      </c>
      <c r="H10" s="367" t="s">
        <v>17</v>
      </c>
      <c r="I10" s="368">
        <f>+VLOOKUP($H10,$H$35:$I$47,2,FALSE)</f>
        <v>0</v>
      </c>
      <c r="J10" s="369"/>
      <c r="K10" s="691"/>
      <c r="L10" s="467"/>
      <c r="M10" s="467"/>
      <c r="N10" s="370"/>
      <c r="O10" s="662" t="str">
        <f t="shared" ref="O10:O18" si="0">+IF(H10="Seleccione","",VLOOKUP($H10,$H$37:$O$47,8,FALSE))</f>
        <v/>
      </c>
      <c r="P10" s="703" t="s">
        <v>17</v>
      </c>
      <c r="Q10" s="519" t="s">
        <v>74</v>
      </c>
      <c r="R10" s="438" t="s">
        <v>17</v>
      </c>
      <c r="S10" s="521"/>
      <c r="T10" s="371"/>
      <c r="U10" s="474" t="s">
        <v>82</v>
      </c>
      <c r="V10" s="563" t="str">
        <f t="shared" ref="V10:V29" si="1">+VLOOKUP($H10,$H$35:$Y$47,15,FALSE)</f>
        <v>Seleccione</v>
      </c>
      <c r="W10" s="564">
        <f>+VLOOKUP($H10,$H$35:$Y$47,16,FALSE)</f>
        <v>0</v>
      </c>
      <c r="X10" s="565">
        <f>+VLOOKUP($V10,$V$36:$AB$47,4,FALSE)</f>
        <v>0</v>
      </c>
      <c r="Y10" s="565">
        <f>+IF($H10=$H$37,$K10*Calculadores!$B$9,IF($H10=$H$38,IF('Datos Instalaciones'!D12="Residencial",$J10*$K10*Calculadores!$B$32*365*24,$J10*$K10*Calculadores!$B$32*365*24*0.7),IF($H10=$H$39,$K10*Calculadores!$B$55,IF($H10=$H$40,$K10*Calculadores!$B$76,IF($H10=$H$41,($K10/Calculadores!$B$96)*$J10*Calculadores!$B$100,IF($H10=$H$42,$J10/Calculadores!$B$124/1000*$K10*Calculadores!$B$125*5*52,IF($H10=$H$43,$J10/Calculadores!$H$124/1000*$K10*Calculadores!$H$125*5*52,IF($H10=$H$44,$J10*$K10*Calculadores!$B$151*Calculadores!$B$153,IF($H10=$H$45,$J10*$K10*Calculadores!$B$180*Calculadores!$B$178,IF($H10=$H$46,$J10*$K10*Calculadores!$B$207*Calculadores!$B$205,IF($H10=$H$47,$J10*$K10*Calculadores!$B$235*Calculadores!$B$233,0)))))))))))</f>
        <v>0</v>
      </c>
      <c r="Z10" s="563">
        <f>+VLOOKUP($V10,$V$36:$AB$47,3,FALSE)</f>
        <v>0</v>
      </c>
      <c r="AA10" s="566">
        <f>+IF(Y10=0,0,Y10*VLOOKUP(V10,$V$37:$AB$48,6,FALSE))</f>
        <v>0</v>
      </c>
      <c r="AB10" s="567">
        <f>+W10*Y10</f>
        <v>0</v>
      </c>
      <c r="AC10" s="568">
        <f>+AA10*VLOOKUP(V10,$V$36:$AB$48,7,FALSE)</f>
        <v>0</v>
      </c>
      <c r="AD10" s="569" t="s">
        <v>17</v>
      </c>
      <c r="AE10" s="570"/>
      <c r="AF10" s="571">
        <f t="shared" ref="AF10:AF29" si="2">+VLOOKUP($AD10,$V$36:$AB$44,3,FALSE)</f>
        <v>0</v>
      </c>
      <c r="AG10" s="572"/>
      <c r="AH10" s="571">
        <f t="shared" ref="AH10:AH29" si="3">+VLOOKUP($AD10,$V$36:$AB$44,2,FALSE)</f>
        <v>0</v>
      </c>
      <c r="AI10" s="573">
        <f t="shared" ref="AI10:AI29" si="4">+IF(AG10="",0,AG10*VLOOKUP(AD10,$V$37:$AB$44,5,FALSE))</f>
        <v>0</v>
      </c>
      <c r="AJ10" s="574">
        <f>+AE10*AG10</f>
        <v>0</v>
      </c>
      <c r="AK10" s="574">
        <f t="shared" ref="AK10:AK29" si="5">+AI10*VLOOKUP(AD10,$V$36:$AB$44,6,FALSE)</f>
        <v>0</v>
      </c>
      <c r="AL10" s="575" t="str">
        <f>+VLOOKUP($H10,$AK$35:$AM$47,2,FALSE)</f>
        <v>Seleccione</v>
      </c>
      <c r="AM10" s="647">
        <f>+VLOOKUP($AL10,$AL$35:$AM$47,2,FALSE)</f>
        <v>0</v>
      </c>
      <c r="AN10" s="647">
        <f>+VLOOKUP($AL10,$AL$35:$AN$47,3,FALSE)</f>
        <v>0</v>
      </c>
      <c r="AO10" s="576">
        <f>+IF($H10=$H$37,$K10*Calculadores!$B$10,IF($H10=$H$38,$J10*$K10*Calculadores!$B$35*365*24,IF($H10=$H$39,$K10*Calculadores!$B$57,IF($H10=$H$40,$K10*Calculadores!$B$77,IF($H10=$H$41,$K10*Calculadores!$B$103*$J10/Calculadores!$B$96,IF($H10=$H$42,$J10/1000*$K10*Calculadores!$B$125*5*52,IF($H10=$H$43,$J10/1000*$K10*Calculadores!$H$125*5*52,IF($H10=$H$44,$J10*$K10*Calculadores!$B$153*Calculadores!$B$152,IF($H10=$H$45,$J10*$K10*Calculadores!$B$180*Calculadores!$B$179,IF($H10=$H$46,$J10*$K10*Calculadores!$B$207*Calculadores!$B$206,IF($H10=$H$47,$J10*$K10*Calculadores!$B$235*Calculadores!$B$234,0)))))))))))</f>
        <v>0</v>
      </c>
      <c r="AP10" s="647">
        <f>+VLOOKUP($AL10,$AL$35:$AO$47,4,FALSE)</f>
        <v>0</v>
      </c>
      <c r="AQ10" s="577">
        <f t="shared" ref="AQ10:AQ29" si="6">+IF(AO10=0,0,AO10*VLOOKUP(AL10,$V$37:$AB$48,6,FALSE))</f>
        <v>0</v>
      </c>
      <c r="AR10" s="578">
        <f>+AM10*AO10</f>
        <v>0</v>
      </c>
      <c r="AS10" s="578">
        <f>+AQ10*VLOOKUP(AL10,$V$36:$AB$48,7,FALSE)</f>
        <v>0</v>
      </c>
      <c r="AT10" s="569" t="s">
        <v>17</v>
      </c>
      <c r="AU10" s="579"/>
      <c r="AV10" s="580">
        <f t="shared" ref="AV10:AV29" si="7">+VLOOKUP($AT10,$V$36:$AB$44,3,FALSE)</f>
        <v>0</v>
      </c>
      <c r="AW10" s="581"/>
      <c r="AX10" s="580">
        <f t="shared" ref="AX10:AX29" si="8">+VLOOKUP($AT10,$V$36:$AB$44,2,FALSE)</f>
        <v>0</v>
      </c>
      <c r="AY10" s="582">
        <f t="shared" ref="AY10:AY29" si="9">+IF(AW10="",0,AW10*VLOOKUP(AT10,$V$37:$AB$44,5,FALSE))</f>
        <v>0</v>
      </c>
      <c r="AZ10" s="583">
        <f>+AU10*AW10</f>
        <v>0</v>
      </c>
      <c r="BA10" s="584">
        <f t="shared" ref="BA10:BA29" si="10">+AY10*VLOOKUP(AT10,$V$36:$AB$44,6,FALSE)</f>
        <v>0</v>
      </c>
      <c r="BB10" s="473" t="s">
        <v>74</v>
      </c>
      <c r="BC10" s="524">
        <f>+(AA10+AI10)-(AQ10+AY10)</f>
        <v>0</v>
      </c>
      <c r="BD10" s="675">
        <f t="shared" ref="BD10:BD29" si="11">-IF(BC10&gt;0,PV($CN$37,$O10,BC10,0,1),0)</f>
        <v>0</v>
      </c>
      <c r="BE10" s="469">
        <f t="shared" ref="BE10:BE29" si="12">(AB10+AJ10)-(AR10+AZ10)</f>
        <v>0</v>
      </c>
      <c r="BF10" s="470">
        <f t="shared" ref="BF10:BF29" si="13">-IF(BE10=0,0,T10/PV(10%,O10,BE10,0,1))</f>
        <v>0</v>
      </c>
      <c r="BG10" s="469">
        <f t="shared" ref="BG10:BG29" si="14">+(AC10+AK10)-(AS10+BA10)</f>
        <v>0</v>
      </c>
      <c r="BH10" s="742" t="str">
        <f>+IF(D10="Seleccione","",VLOOKUP(D10,'Datos Instalaciones'!$E$15:$F$34,2,FALSE))</f>
        <v/>
      </c>
      <c r="BI10" s="742">
        <f>+IF(BH10="",1,VLOOKUP(BH10,$BH$37:$BI$55,2,FALSE))</f>
        <v>1</v>
      </c>
      <c r="BJ10" s="706" t="s">
        <v>17</v>
      </c>
      <c r="BK10" s="372">
        <f>+IF(BJ10="Seleccione",1,VLOOKUP(BJ10,$BJ$37:$BK$41,2,))</f>
        <v>1</v>
      </c>
      <c r="BL10" s="669" t="str">
        <f>+'Datos Instalaciones'!D12</f>
        <v>Seleccione</v>
      </c>
      <c r="BM10" s="670">
        <f t="shared" ref="BM10:BM29" si="15">+IF(BL10="Seleccione",1,IF(BL10="Residencial",1,VLOOKUP(BL10,$BL$37:$BM$40,2,)))</f>
        <v>1</v>
      </c>
      <c r="BN10" s="669" t="str">
        <f>+IF(H10=$H$44,$BN$37,IF(H10=$H$45,$BN$37,IF(H10=$H$46,$BN$37,IF(H10=$H$47,$BN$37,"No"))))</f>
        <v>No</v>
      </c>
      <c r="BO10" s="670">
        <f t="shared" ref="BO10:BO29" si="16">+IF(BN10=$BN$37,$BO$37,1)</f>
        <v>1</v>
      </c>
      <c r="BP10" s="669" t="str">
        <f>+'Datos Instalaciones'!D12</f>
        <v>Seleccione</v>
      </c>
      <c r="BQ10" s="671">
        <f>+IF('Datos Instalaciones'!$D$12="Residencial",MMEE!$BQ$37,1)</f>
        <v>1</v>
      </c>
      <c r="BR10" s="708" t="s">
        <v>17</v>
      </c>
      <c r="BS10" s="372">
        <f t="shared" ref="BS10:BS29" si="17">+IF(BR10="Seleccione",1,VLOOKUP(BR10,$BR$36:$BS$39,2,FALSE))</f>
        <v>1</v>
      </c>
      <c r="BT10" s="706" t="s">
        <v>17</v>
      </c>
      <c r="BU10" s="372">
        <f t="shared" ref="BU10:BU29" si="18">+IF(BT10="Seleccione",1,VLOOKUP(BT10,$BT$36:$BU$39,2,FALSE))</f>
        <v>1</v>
      </c>
      <c r="BV10" s="706" t="s">
        <v>17</v>
      </c>
      <c r="BW10" s="372">
        <f t="shared" ref="BW10:BW29" si="19">+IF(BV10="Seleccione",1,VLOOKUP(BV10,$BV$36:$BW$39,2,FALSE))</f>
        <v>1</v>
      </c>
      <c r="BX10" s="481">
        <v>1</v>
      </c>
      <c r="BY10" s="670">
        <f>+Género!E5</f>
        <v>1</v>
      </c>
      <c r="BZ10" s="670">
        <f>+Género!E6</f>
        <v>1</v>
      </c>
      <c r="CA10" s="670">
        <f>+Género!E7</f>
        <v>1</v>
      </c>
      <c r="CB10" s="670">
        <f>+Género!E8</f>
        <v>1</v>
      </c>
      <c r="CC10" s="670">
        <f>+Género!E9</f>
        <v>1</v>
      </c>
      <c r="CD10" s="670">
        <f>+Género!E10</f>
        <v>1</v>
      </c>
      <c r="CE10" s="670">
        <f>+Género!E11</f>
        <v>1</v>
      </c>
      <c r="CF10" s="485" t="s">
        <v>17</v>
      </c>
      <c r="CG10" s="486">
        <f t="shared" ref="CG10:CG29" si="20">+IF(CF10="Seleccione",1,VLOOKUP(CF10,$CF$36:$CG$43,2,FALSE))</f>
        <v>1</v>
      </c>
      <c r="CH10" s="494">
        <v>1</v>
      </c>
      <c r="CI10" s="429">
        <f>PRODUCT(BI10,BK10,BM10,BO10,BQ10,BS10,BU10,BW10,BX10,CE10,CG10,CH10)</f>
        <v>1</v>
      </c>
      <c r="CJ10" s="372">
        <f>+IF(BI10*BK10*BM10*BO10*BQ10*BS10*BU10*BW10*BX10*CE10*CG10*CH10&lt;5,BI10*BK10*BM10*BO10*BQ10*BS10*BU10*BW10*BX10*CE10*CG10*CH10,5)</f>
        <v>1</v>
      </c>
      <c r="CK10" s="498">
        <f>+BC10*CI10</f>
        <v>0</v>
      </c>
      <c r="CL10" s="376">
        <f>+IF(BC10&gt;0,BC10*CJ10,0)</f>
        <v>0</v>
      </c>
      <c r="CM10" s="498" t="e">
        <f>-PV($CN$37,$O10,CK10,0,1)</f>
        <v>#VALUE!</v>
      </c>
      <c r="CN10" s="376" t="e">
        <f>-PV($CN$37,$O10,CL10,0,1)</f>
        <v>#VALUE!</v>
      </c>
      <c r="CO10" s="500" t="e">
        <f>CM10*$CO$37</f>
        <v>#VALUE!</v>
      </c>
      <c r="CP10" s="373" t="e">
        <f>CN10*$CO$37</f>
        <v>#VALUE!</v>
      </c>
      <c r="CQ10" s="505">
        <f>IF(DATE(2020,7,1)&gt;N10,IF(N10&gt;DATE(2019,6,30),IF(T10*30%&lt;=CO10,T10*30%,CO10),0),0)</f>
        <v>0</v>
      </c>
      <c r="CR10" s="505">
        <f t="shared" ref="CR10:CR29" si="21">IF(DATE(2020,7,1)&gt;N10,IF(N10&gt;DATE(2019,6,30),IF(T10*30%&lt;=CP10,T10*30%,CP10),0),0)</f>
        <v>0</v>
      </c>
      <c r="CS10" s="799">
        <f>IF(SUM($CQ$10:$CQ$29)&gt;6500000,6500000,SUM($CQ$10:$CQ$29))</f>
        <v>0</v>
      </c>
      <c r="CT10" s="792">
        <f>IF(SUM($CR$10:$CR$29)&gt;6500000,6500000,SUM($CR$10:$CR$29))</f>
        <v>0</v>
      </c>
    </row>
    <row r="11" spans="1:98" s="9" customFormat="1" ht="45" customHeight="1" thickBot="1" x14ac:dyDescent="0.3">
      <c r="B11" s="664">
        <f>B10</f>
        <v>0</v>
      </c>
      <c r="C11" s="664">
        <f>C10</f>
        <v>0</v>
      </c>
      <c r="D11" s="367" t="s">
        <v>17</v>
      </c>
      <c r="E11" s="663" t="str">
        <f>IF(D11="Seleccione","",VLOOKUP(MMEE!D11,'Datos Instalaciones'!$E$15:$AD$34,24,))</f>
        <v/>
      </c>
      <c r="F11" s="366">
        <v>2</v>
      </c>
      <c r="G11" s="663" t="s">
        <v>452</v>
      </c>
      <c r="H11" s="367" t="s">
        <v>17</v>
      </c>
      <c r="I11" s="507">
        <f t="shared" ref="I11:I29" si="22">+VLOOKUP($H11,$H$35:$I$47,2,FALSE)</f>
        <v>0</v>
      </c>
      <c r="J11" s="375"/>
      <c r="K11" s="691"/>
      <c r="L11" s="467" t="str">
        <f t="shared" ref="L11:L29" si="23">+VLOOKUP($H11,$H$35:$M$47,5,FALSE)</f>
        <v>Seleccione</v>
      </c>
      <c r="M11" s="467" t="str">
        <f t="shared" ref="M11:M29" si="24">+VLOOKUP($H11,$H$35:$M$47,6,FALSE)</f>
        <v>Seleccione</v>
      </c>
      <c r="N11" s="370"/>
      <c r="O11" s="662" t="str">
        <f t="shared" si="0"/>
        <v/>
      </c>
      <c r="P11" s="703" t="s">
        <v>17</v>
      </c>
      <c r="Q11" s="519" t="s">
        <v>74</v>
      </c>
      <c r="R11" s="438" t="s">
        <v>17</v>
      </c>
      <c r="S11" s="522"/>
      <c r="T11" s="374"/>
      <c r="U11" s="474" t="s">
        <v>82</v>
      </c>
      <c r="V11" s="563" t="str">
        <f t="shared" si="1"/>
        <v>Seleccione</v>
      </c>
      <c r="W11" s="564">
        <f t="shared" ref="W11:W29" si="25">+VLOOKUP($H11,$H$35:$Y$47,16,FALSE)</f>
        <v>0</v>
      </c>
      <c r="X11" s="565">
        <f t="shared" ref="X11:X29" si="26">+VLOOKUP($V11,$V$36:$AB$47,4,FALSE)</f>
        <v>0</v>
      </c>
      <c r="Y11" s="565">
        <f>+IF($H11=$H$37,$K11*Calculadores!$B$9,IF($H11=$H$38,IF('Datos Instalaciones'!D13="Residencial",$J11*$K11*Calculadores!$B$32*365*24,$J11*$K11*Calculadores!$B$32*365*24*0.7),IF($H11=$H$39,$K11*Calculadores!$B$55,IF($H11=$H$40,$K11*Calculadores!$B$76,IF($H11=$H$41,($K11/Calculadores!$B$96)*$J11*Calculadores!$B$100,IF($H11=$H$42,$J11/Calculadores!$B$124/1000*$K11*Calculadores!$B$125*5*52,IF($H11=$H$43,$J11/Calculadores!$H$124/1000*$K11*Calculadores!$H$125*5*52,IF($H11=$H$44,$J11*$K11*Calculadores!$B$151*Calculadores!$B$153,IF($H11=$H$45,$J11*$K11*Calculadores!$B$180*Calculadores!$B$178,IF($H11=$H$46,$J11*$K11*Calculadores!$B$207*Calculadores!$B$205,IF($H11=$H$47,$J11*$K11*Calculadores!$B$235*Calculadores!$B$233,0)))))))))))</f>
        <v>0</v>
      </c>
      <c r="Z11" s="563">
        <f t="shared" ref="Z11:Z29" si="27">+VLOOKUP($V11,$V$36:$AB$47,3,FALSE)</f>
        <v>0</v>
      </c>
      <c r="AA11" s="566">
        <f t="shared" ref="AA11:AA29" si="28">+IF(Y11=0,0,Y11*VLOOKUP(V11,$V$37:$AB$48,6,FALSE))</f>
        <v>0</v>
      </c>
      <c r="AB11" s="567">
        <f t="shared" ref="AB11:AB29" si="29">+W11*Y11</f>
        <v>0</v>
      </c>
      <c r="AC11" s="568">
        <f t="shared" ref="AC11:AC29" si="30">+AA11*VLOOKUP(V11,$V$36:$AB$48,7,FALSE)</f>
        <v>0</v>
      </c>
      <c r="AD11" s="569" t="s">
        <v>17</v>
      </c>
      <c r="AE11" s="570"/>
      <c r="AF11" s="571">
        <f t="shared" si="2"/>
        <v>0</v>
      </c>
      <c r="AG11" s="572"/>
      <c r="AH11" s="571">
        <f t="shared" si="3"/>
        <v>0</v>
      </c>
      <c r="AI11" s="573">
        <f t="shared" si="4"/>
        <v>0</v>
      </c>
      <c r="AJ11" s="574">
        <f t="shared" ref="AJ11:AJ29" si="31">+AE11*AG11</f>
        <v>0</v>
      </c>
      <c r="AK11" s="574">
        <f t="shared" si="5"/>
        <v>0</v>
      </c>
      <c r="AL11" s="575" t="str">
        <f t="shared" ref="AL11:AL29" si="32">+VLOOKUP($H11,$AK$35:$AM$47,2,FALSE)</f>
        <v>Seleccione</v>
      </c>
      <c r="AM11" s="647">
        <f t="shared" ref="AM11:AM29" si="33">+VLOOKUP(AL11,$AL$35:$AM$47,2,FALSE)</f>
        <v>0</v>
      </c>
      <c r="AN11" s="647">
        <f t="shared" ref="AN11:AN29" si="34">+VLOOKUP($AL11,$AL$35:$AN$47,3,FALSE)</f>
        <v>0</v>
      </c>
      <c r="AO11" s="576">
        <f>+IF($H11=$H$37,$K11*Calculadores!$B$10,IF($H11=$H$38,$J11*$K11*Calculadores!$B$35*365*24,IF($H11=$H$39,$K11*Calculadores!$B$57,IF($H11=$H$40,$K11*Calculadores!$B$77,IF($H11=$H$41,$K11*Calculadores!$B$103*$J11/Calculadores!$B$96,IF($H11=$H$42,$J11/1000*$K11*Calculadores!$B$125*5*52,IF($H11=$H$43,$J11/1000*$K11*Calculadores!$H$125*5*52,IF($H11=$H$44,$J11*$K11*Calculadores!$B$153*Calculadores!$B$152,IF($H11=$H$45,$J11*$K11*Calculadores!$B$180*Calculadores!$B$179,IF($H11=$H$46,$J11*$K11*Calculadores!$B$207*Calculadores!$B$206,IF($H11=$H$47,$J11*$K11*Calculadores!$B$235*Calculadores!$B$234,0)))))))))))</f>
        <v>0</v>
      </c>
      <c r="AP11" s="647">
        <f t="shared" ref="AP11:AP29" si="35">+VLOOKUP($AL11,$AL$35:$AO$47,4,FALSE)</f>
        <v>0</v>
      </c>
      <c r="AQ11" s="577">
        <f t="shared" si="6"/>
        <v>0</v>
      </c>
      <c r="AR11" s="578">
        <f>+AM11*AO11</f>
        <v>0</v>
      </c>
      <c r="AS11" s="578">
        <f t="shared" ref="AS11:AS29" si="36">+AQ11*VLOOKUP(AL11,$V$36:$AB$48,7,FALSE)</f>
        <v>0</v>
      </c>
      <c r="AT11" s="569" t="s">
        <v>17</v>
      </c>
      <c r="AU11" s="579"/>
      <c r="AV11" s="580">
        <f t="shared" si="7"/>
        <v>0</v>
      </c>
      <c r="AW11" s="581"/>
      <c r="AX11" s="580">
        <f t="shared" si="8"/>
        <v>0</v>
      </c>
      <c r="AY11" s="582">
        <f t="shared" si="9"/>
        <v>0</v>
      </c>
      <c r="AZ11" s="583">
        <f t="shared" ref="AZ11:AZ29" si="37">+AU11*AW11</f>
        <v>0</v>
      </c>
      <c r="BA11" s="584">
        <f t="shared" si="10"/>
        <v>0</v>
      </c>
      <c r="BB11" s="473" t="s">
        <v>74</v>
      </c>
      <c r="BC11" s="524">
        <f t="shared" ref="BC11:BC29" si="38">+(AA11+AI11)-(AQ11+AY11)</f>
        <v>0</v>
      </c>
      <c r="BD11" s="675">
        <f t="shared" si="11"/>
        <v>0</v>
      </c>
      <c r="BE11" s="469">
        <f t="shared" si="12"/>
        <v>0</v>
      </c>
      <c r="BF11" s="470">
        <f t="shared" si="13"/>
        <v>0</v>
      </c>
      <c r="BG11" s="469">
        <f t="shared" si="14"/>
        <v>0</v>
      </c>
      <c r="BH11" s="742" t="str">
        <f>+IF(D11="Seleccione","",VLOOKUP(D11,'Datos Instalaciones'!$E$15:$F$34,2,FALSE))</f>
        <v/>
      </c>
      <c r="BI11" s="742">
        <f t="shared" ref="BI11:BI29" si="39">+IF(BH11="",1,VLOOKUP(BH11,$BH$37:$BI$55,2,FALSE))</f>
        <v>1</v>
      </c>
      <c r="BJ11" s="706" t="s">
        <v>17</v>
      </c>
      <c r="BK11" s="372">
        <f t="shared" ref="BK11:BK29" si="40">+IF(BJ11="Seleccione",1,VLOOKUP(BJ11,$BJ$37:$BK$41,2,))</f>
        <v>1</v>
      </c>
      <c r="BL11" s="669" t="str">
        <f>+BL10</f>
        <v>Seleccione</v>
      </c>
      <c r="BM11" s="670">
        <f t="shared" si="15"/>
        <v>1</v>
      </c>
      <c r="BN11" s="669" t="str">
        <f t="shared" ref="BN11:BN29" si="41">+IF(H11=$H$44,$BN$37,IF(H11=$H$45,$BN$37,IF(H11=$H$46,$BN$37,IF(H11=$H$47,$BN$37,"No"))))</f>
        <v>No</v>
      </c>
      <c r="BO11" s="670">
        <f t="shared" si="16"/>
        <v>1</v>
      </c>
      <c r="BP11" s="669" t="str">
        <f>+BP10</f>
        <v>Seleccione</v>
      </c>
      <c r="BQ11" s="671">
        <f>+IF('Datos Instalaciones'!$D$12="Residencial",MMEE!$BQ$37,1)</f>
        <v>1</v>
      </c>
      <c r="BR11" s="708" t="s">
        <v>17</v>
      </c>
      <c r="BS11" s="372">
        <f t="shared" si="17"/>
        <v>1</v>
      </c>
      <c r="BT11" s="706" t="s">
        <v>17</v>
      </c>
      <c r="BU11" s="372">
        <f t="shared" si="18"/>
        <v>1</v>
      </c>
      <c r="BV11" s="706" t="s">
        <v>17</v>
      </c>
      <c r="BW11" s="372">
        <f t="shared" si="19"/>
        <v>1</v>
      </c>
      <c r="BX11" s="481">
        <v>1</v>
      </c>
      <c r="BY11" s="670">
        <f>+BY10</f>
        <v>1</v>
      </c>
      <c r="BZ11" s="670">
        <f t="shared" ref="BZ11:CE11" si="42">+BZ10</f>
        <v>1</v>
      </c>
      <c r="CA11" s="670">
        <f t="shared" si="42"/>
        <v>1</v>
      </c>
      <c r="CB11" s="670">
        <f t="shared" si="42"/>
        <v>1</v>
      </c>
      <c r="CC11" s="670">
        <f t="shared" si="42"/>
        <v>1</v>
      </c>
      <c r="CD11" s="670">
        <f t="shared" si="42"/>
        <v>1</v>
      </c>
      <c r="CE11" s="670">
        <f t="shared" si="42"/>
        <v>1</v>
      </c>
      <c r="CF11" s="485" t="s">
        <v>17</v>
      </c>
      <c r="CG11" s="486">
        <f t="shared" si="20"/>
        <v>1</v>
      </c>
      <c r="CH11" s="494">
        <v>1</v>
      </c>
      <c r="CI11" s="429">
        <f t="shared" ref="CI11:CI29" si="43">+IF(PRODUCT(BI11,BK11,BM11,BO11,BQ11,BS11,BU11,BW11,BX11,CE11,CG11,CH11)&lt;=5,PRODUCT(BI11,BK11,BM11,BO11,BQ11,BS11,BU11,BW11,BX11,CE11,CG11,CH11),5)</f>
        <v>1</v>
      </c>
      <c r="CJ11" s="372">
        <f t="shared" ref="CJ11:CJ29" si="44">+IF(BI11*BK11*BM11*BO11*BQ11*BS11*BU11*BW11*BX11*CE11*CG11*CH11&lt;5,BI11*BK11*BM11*BO11*BQ11*BS11*BU11*BW11*BX11*CE11*CG11*CH11,5)</f>
        <v>1</v>
      </c>
      <c r="CK11" s="498">
        <f t="shared" ref="CK11:CK29" si="45">+BC11*CI11</f>
        <v>0</v>
      </c>
      <c r="CL11" s="376">
        <f t="shared" ref="CL11:CL29" si="46">+IF(BC11&gt;0,BC11*CJ11,0)</f>
        <v>0</v>
      </c>
      <c r="CM11" s="498" t="e">
        <f t="shared" ref="CM11:CM29" si="47">-PV($CN$37,$O11,CK11,0,1)</f>
        <v>#VALUE!</v>
      </c>
      <c r="CN11" s="376" t="e">
        <f t="shared" ref="CN11:CN29" si="48">-PV($CN$37,$O11,CL11,0,1)</f>
        <v>#VALUE!</v>
      </c>
      <c r="CO11" s="500" t="e">
        <f t="shared" ref="CO11:CO29" si="49">CM11*$CO$37</f>
        <v>#VALUE!</v>
      </c>
      <c r="CP11" s="373" t="e">
        <f t="shared" ref="CP11:CP29" si="50">CN11*$CO$37</f>
        <v>#VALUE!</v>
      </c>
      <c r="CQ11" s="505">
        <f t="shared" ref="CQ11:CQ29" si="51">IF(DATE(2020,7,1)&gt;N11,IF(N11&gt;DATE(2019,6,30),IF(T11*30%&lt;=CO11,T11*30%,CO11),0),0)</f>
        <v>0</v>
      </c>
      <c r="CR11" s="505">
        <f t="shared" si="21"/>
        <v>0</v>
      </c>
      <c r="CS11" s="800"/>
      <c r="CT11" s="793"/>
    </row>
    <row r="12" spans="1:98" s="9" customFormat="1" ht="45" customHeight="1" thickBot="1" x14ac:dyDescent="0.3">
      <c r="B12" s="664">
        <f t="shared" ref="B12:B28" si="52">B11</f>
        <v>0</v>
      </c>
      <c r="C12" s="664">
        <f t="shared" ref="C12:C28" si="53">C11</f>
        <v>0</v>
      </c>
      <c r="D12" s="367" t="s">
        <v>17</v>
      </c>
      <c r="E12" s="663" t="str">
        <f>IF(D12="Seleccione","",VLOOKUP(MMEE!D12,'Datos Instalaciones'!$E$15:$AD$34,24,))</f>
        <v/>
      </c>
      <c r="F12" s="366">
        <v>3</v>
      </c>
      <c r="G12" s="663" t="s">
        <v>452</v>
      </c>
      <c r="H12" s="367" t="s">
        <v>17</v>
      </c>
      <c r="I12" s="507">
        <f t="shared" si="22"/>
        <v>0</v>
      </c>
      <c r="J12" s="375"/>
      <c r="K12" s="691"/>
      <c r="L12" s="467" t="str">
        <f t="shared" si="23"/>
        <v>Seleccione</v>
      </c>
      <c r="M12" s="467" t="str">
        <f t="shared" si="24"/>
        <v>Seleccione</v>
      </c>
      <c r="N12" s="370"/>
      <c r="O12" s="662" t="str">
        <f t="shared" si="0"/>
        <v/>
      </c>
      <c r="P12" s="703" t="s">
        <v>17</v>
      </c>
      <c r="Q12" s="519" t="s">
        <v>74</v>
      </c>
      <c r="R12" s="438" t="s">
        <v>17</v>
      </c>
      <c r="S12" s="522"/>
      <c r="T12" s="374"/>
      <c r="U12" s="474" t="s">
        <v>82</v>
      </c>
      <c r="V12" s="563" t="str">
        <f t="shared" si="1"/>
        <v>Seleccione</v>
      </c>
      <c r="W12" s="564">
        <f t="shared" si="25"/>
        <v>0</v>
      </c>
      <c r="X12" s="565">
        <f t="shared" si="26"/>
        <v>0</v>
      </c>
      <c r="Y12" s="565">
        <f>+IF($H12=$H$37,$K12*Calculadores!$B$9,IF($H12=$H$38,IF('Datos Instalaciones'!D14="Residencial",$J12*$K12*Calculadores!$B$32*365*24,$J12*$K12*Calculadores!$B$32*365*24*0.7),IF($H12=$H$39,$K12*Calculadores!$B$55,IF($H12=$H$40,$K12*Calculadores!$B$76,IF($H12=$H$41,($K12/Calculadores!$B$96)*$J12*Calculadores!$B$100,IF($H12=$H$42,$J12/Calculadores!$B$124/1000*$K12*Calculadores!$B$125*5*52,IF($H12=$H$43,$J12/Calculadores!$H$124/1000*$K12*Calculadores!$H$125*5*52,IF($H12=$H$44,$J12*$K12*Calculadores!$B$151*Calculadores!$B$153,IF($H12=$H$45,$J12*$K12*Calculadores!$B$180*Calculadores!$B$178,IF($H12=$H$46,$J12*$K12*Calculadores!$B$207*Calculadores!$B$205,IF($H12=$H$47,$J12*$K12*Calculadores!$B$235*Calculadores!$B$233,0)))))))))))</f>
        <v>0</v>
      </c>
      <c r="Z12" s="563">
        <f t="shared" si="27"/>
        <v>0</v>
      </c>
      <c r="AA12" s="566">
        <f t="shared" si="28"/>
        <v>0</v>
      </c>
      <c r="AB12" s="567">
        <f t="shared" si="29"/>
        <v>0</v>
      </c>
      <c r="AC12" s="568">
        <f t="shared" si="30"/>
        <v>0</v>
      </c>
      <c r="AD12" s="569" t="s">
        <v>17</v>
      </c>
      <c r="AE12" s="570"/>
      <c r="AF12" s="571">
        <f t="shared" si="2"/>
        <v>0</v>
      </c>
      <c r="AG12" s="572"/>
      <c r="AH12" s="571">
        <f t="shared" si="3"/>
        <v>0</v>
      </c>
      <c r="AI12" s="573">
        <f t="shared" si="4"/>
        <v>0</v>
      </c>
      <c r="AJ12" s="574">
        <f t="shared" si="31"/>
        <v>0</v>
      </c>
      <c r="AK12" s="574">
        <f t="shared" si="5"/>
        <v>0</v>
      </c>
      <c r="AL12" s="575" t="str">
        <f t="shared" si="32"/>
        <v>Seleccione</v>
      </c>
      <c r="AM12" s="647">
        <f t="shared" si="33"/>
        <v>0</v>
      </c>
      <c r="AN12" s="647">
        <f t="shared" si="34"/>
        <v>0</v>
      </c>
      <c r="AO12" s="576">
        <f>+IF($H12=$H$37,$K12*Calculadores!$B$10,IF($H12=$H$38,$J12*$K12*Calculadores!$B$35*365*24,IF($H12=$H$39,$K12*Calculadores!$B$57,IF($H12=$H$40,$K12*Calculadores!$B$77,IF($H12=$H$41,$K12*Calculadores!$B$103*$J12/Calculadores!$B$96,IF($H12=$H$42,$J12/1000*$K12*Calculadores!$B$125*5*52,IF($H12=$H$43,$J12/1000*$K12*Calculadores!$H$125*5*52,IF($H12=$H$44,$J12*$K12*Calculadores!$B$153*Calculadores!$B$152,IF($H12=$H$45,$J12*$K12*Calculadores!$B$180*Calculadores!$B$179,IF($H12=$H$46,$J12*$K12*Calculadores!$B$207*Calculadores!$B$206,IF($H12=$H$47,$J12*$K12*Calculadores!$B$235*Calculadores!$B$234,0)))))))))))</f>
        <v>0</v>
      </c>
      <c r="AP12" s="647">
        <f t="shared" si="35"/>
        <v>0</v>
      </c>
      <c r="AQ12" s="577">
        <f t="shared" si="6"/>
        <v>0</v>
      </c>
      <c r="AR12" s="578">
        <f>+AM12*AO12</f>
        <v>0</v>
      </c>
      <c r="AS12" s="578">
        <f t="shared" si="36"/>
        <v>0</v>
      </c>
      <c r="AT12" s="569" t="s">
        <v>17</v>
      </c>
      <c r="AU12" s="579"/>
      <c r="AV12" s="580">
        <f t="shared" si="7"/>
        <v>0</v>
      </c>
      <c r="AW12" s="581"/>
      <c r="AX12" s="580">
        <f t="shared" si="8"/>
        <v>0</v>
      </c>
      <c r="AY12" s="582">
        <f t="shared" si="9"/>
        <v>0</v>
      </c>
      <c r="AZ12" s="583">
        <f t="shared" si="37"/>
        <v>0</v>
      </c>
      <c r="BA12" s="584">
        <f t="shared" si="10"/>
        <v>0</v>
      </c>
      <c r="BB12" s="473" t="s">
        <v>74</v>
      </c>
      <c r="BC12" s="524">
        <f t="shared" si="38"/>
        <v>0</v>
      </c>
      <c r="BD12" s="675">
        <f t="shared" si="11"/>
        <v>0</v>
      </c>
      <c r="BE12" s="469">
        <f t="shared" si="12"/>
        <v>0</v>
      </c>
      <c r="BF12" s="470">
        <f t="shared" si="13"/>
        <v>0</v>
      </c>
      <c r="BG12" s="469">
        <f t="shared" si="14"/>
        <v>0</v>
      </c>
      <c r="BH12" s="742" t="str">
        <f>+IF(D12="Seleccione","",VLOOKUP(D12,'Datos Instalaciones'!$E$15:$F$34,2,FALSE))</f>
        <v/>
      </c>
      <c r="BI12" s="742">
        <f t="shared" si="39"/>
        <v>1</v>
      </c>
      <c r="BJ12" s="706" t="s">
        <v>17</v>
      </c>
      <c r="BK12" s="372">
        <f t="shared" si="40"/>
        <v>1</v>
      </c>
      <c r="BL12" s="669" t="str">
        <f t="shared" ref="BL12:BL28" si="54">+BL11</f>
        <v>Seleccione</v>
      </c>
      <c r="BM12" s="670">
        <f t="shared" si="15"/>
        <v>1</v>
      </c>
      <c r="BN12" s="669" t="str">
        <f t="shared" si="41"/>
        <v>No</v>
      </c>
      <c r="BO12" s="670">
        <f t="shared" si="16"/>
        <v>1</v>
      </c>
      <c r="BP12" s="669" t="str">
        <f t="shared" ref="BP12:BP28" si="55">+BP11</f>
        <v>Seleccione</v>
      </c>
      <c r="BQ12" s="671">
        <f>+IF('Datos Instalaciones'!$D$12="Residencial",MMEE!$BQ$37,1)</f>
        <v>1</v>
      </c>
      <c r="BR12" s="708" t="s">
        <v>17</v>
      </c>
      <c r="BS12" s="372">
        <f t="shared" si="17"/>
        <v>1</v>
      </c>
      <c r="BT12" s="706" t="s">
        <v>17</v>
      </c>
      <c r="BU12" s="372">
        <f t="shared" si="18"/>
        <v>1</v>
      </c>
      <c r="BV12" s="706" t="s">
        <v>17</v>
      </c>
      <c r="BW12" s="372">
        <f t="shared" si="19"/>
        <v>1</v>
      </c>
      <c r="BX12" s="481">
        <v>1</v>
      </c>
      <c r="BY12" s="670">
        <f t="shared" ref="BY12:BY29" si="56">+BY11</f>
        <v>1</v>
      </c>
      <c r="BZ12" s="670">
        <f t="shared" ref="BZ12:BZ29" si="57">+BZ11</f>
        <v>1</v>
      </c>
      <c r="CA12" s="670">
        <f t="shared" ref="CA12:CA29" si="58">+CA11</f>
        <v>1</v>
      </c>
      <c r="CB12" s="670">
        <f t="shared" ref="CB12:CB29" si="59">+CB11</f>
        <v>1</v>
      </c>
      <c r="CC12" s="670">
        <f t="shared" ref="CC12:CC29" si="60">+CC11</f>
        <v>1</v>
      </c>
      <c r="CD12" s="670">
        <f t="shared" ref="CD12:CD29" si="61">+CD11</f>
        <v>1</v>
      </c>
      <c r="CE12" s="670">
        <f t="shared" ref="CE12:CE29" si="62">+CE11</f>
        <v>1</v>
      </c>
      <c r="CF12" s="485" t="s">
        <v>17</v>
      </c>
      <c r="CG12" s="486">
        <f t="shared" si="20"/>
        <v>1</v>
      </c>
      <c r="CH12" s="494">
        <v>1</v>
      </c>
      <c r="CI12" s="429">
        <f t="shared" si="43"/>
        <v>1</v>
      </c>
      <c r="CJ12" s="372">
        <f t="shared" si="44"/>
        <v>1</v>
      </c>
      <c r="CK12" s="498">
        <f t="shared" si="45"/>
        <v>0</v>
      </c>
      <c r="CL12" s="376">
        <f t="shared" si="46"/>
        <v>0</v>
      </c>
      <c r="CM12" s="498" t="e">
        <f t="shared" si="47"/>
        <v>#VALUE!</v>
      </c>
      <c r="CN12" s="376" t="e">
        <f t="shared" si="48"/>
        <v>#VALUE!</v>
      </c>
      <c r="CO12" s="500" t="e">
        <f t="shared" si="49"/>
        <v>#VALUE!</v>
      </c>
      <c r="CP12" s="373" t="e">
        <f t="shared" si="50"/>
        <v>#VALUE!</v>
      </c>
      <c r="CQ12" s="505">
        <f t="shared" si="51"/>
        <v>0</v>
      </c>
      <c r="CR12" s="505">
        <f t="shared" si="21"/>
        <v>0</v>
      </c>
      <c r="CS12" s="800"/>
      <c r="CT12" s="793"/>
    </row>
    <row r="13" spans="1:98" s="9" customFormat="1" ht="45" customHeight="1" thickBot="1" x14ac:dyDescent="0.3">
      <c r="B13" s="664">
        <f t="shared" si="52"/>
        <v>0</v>
      </c>
      <c r="C13" s="664">
        <f t="shared" si="53"/>
        <v>0</v>
      </c>
      <c r="D13" s="367" t="s">
        <v>17</v>
      </c>
      <c r="E13" s="663" t="str">
        <f>IF(D13="Seleccione","",VLOOKUP(MMEE!D13,'Datos Instalaciones'!$E$15:$AD$34,24,))</f>
        <v/>
      </c>
      <c r="F13" s="366">
        <v>4</v>
      </c>
      <c r="G13" s="663" t="s">
        <v>452</v>
      </c>
      <c r="H13" s="367" t="s">
        <v>17</v>
      </c>
      <c r="I13" s="507">
        <f t="shared" si="22"/>
        <v>0</v>
      </c>
      <c r="J13" s="375"/>
      <c r="K13" s="691"/>
      <c r="L13" s="467" t="str">
        <f t="shared" si="23"/>
        <v>Seleccione</v>
      </c>
      <c r="M13" s="467" t="str">
        <f t="shared" si="24"/>
        <v>Seleccione</v>
      </c>
      <c r="N13" s="370"/>
      <c r="O13" s="662" t="str">
        <f t="shared" si="0"/>
        <v/>
      </c>
      <c r="P13" s="703" t="s">
        <v>17</v>
      </c>
      <c r="Q13" s="519" t="s">
        <v>74</v>
      </c>
      <c r="R13" s="438" t="s">
        <v>17</v>
      </c>
      <c r="S13" s="522"/>
      <c r="T13" s="374"/>
      <c r="U13" s="474" t="s">
        <v>82</v>
      </c>
      <c r="V13" s="563" t="str">
        <f t="shared" si="1"/>
        <v>Seleccione</v>
      </c>
      <c r="W13" s="564">
        <f t="shared" si="25"/>
        <v>0</v>
      </c>
      <c r="X13" s="565">
        <f t="shared" si="26"/>
        <v>0</v>
      </c>
      <c r="Y13" s="565">
        <f>+IF($H13=$H$37,$K13*Calculadores!$B$9,IF($H13=$H$38,IF('Datos Instalaciones'!D15="Residencial",$J13*$K13*Calculadores!$B$32*365*24,$J13*$K13*Calculadores!$B$32*365*24*0.7),IF($H13=$H$39,$K13*Calculadores!$B$55,IF($H13=$H$40,$K13*Calculadores!$B$76,IF($H13=$H$41,($K13/Calculadores!$B$96)*$J13*Calculadores!$B$100,IF($H13=$H$42,$J13/Calculadores!$B$124/1000*$K13*Calculadores!$B$125*5*52,IF($H13=$H$43,$J13/Calculadores!$H$124/1000*$K13*Calculadores!$H$125*5*52,IF($H13=$H$44,$J13*$K13*Calculadores!$B$151*Calculadores!$B$153,IF($H13=$H$45,$J13*$K13*Calculadores!$B$180*Calculadores!$B$178,IF($H13=$H$46,$J13*$K13*Calculadores!$B$207*Calculadores!$B$205,IF($H13=$H$47,$J13*$K13*Calculadores!$B$235*Calculadores!$B$233,0)))))))))))</f>
        <v>0</v>
      </c>
      <c r="Z13" s="563">
        <f t="shared" si="27"/>
        <v>0</v>
      </c>
      <c r="AA13" s="566">
        <f t="shared" si="28"/>
        <v>0</v>
      </c>
      <c r="AB13" s="567">
        <f t="shared" si="29"/>
        <v>0</v>
      </c>
      <c r="AC13" s="568">
        <f t="shared" si="30"/>
        <v>0</v>
      </c>
      <c r="AD13" s="569" t="s">
        <v>17</v>
      </c>
      <c r="AE13" s="570"/>
      <c r="AF13" s="571">
        <f t="shared" si="2"/>
        <v>0</v>
      </c>
      <c r="AG13" s="572"/>
      <c r="AH13" s="571">
        <f t="shared" si="3"/>
        <v>0</v>
      </c>
      <c r="AI13" s="573">
        <f t="shared" si="4"/>
        <v>0</v>
      </c>
      <c r="AJ13" s="574">
        <f t="shared" si="31"/>
        <v>0</v>
      </c>
      <c r="AK13" s="574">
        <f t="shared" si="5"/>
        <v>0</v>
      </c>
      <c r="AL13" s="575" t="str">
        <f t="shared" si="32"/>
        <v>Seleccione</v>
      </c>
      <c r="AM13" s="647">
        <f t="shared" si="33"/>
        <v>0</v>
      </c>
      <c r="AN13" s="647">
        <f t="shared" si="34"/>
        <v>0</v>
      </c>
      <c r="AO13" s="576">
        <f>+IF($H13=$H$37,$K13*Calculadores!$B$10,IF($H13=$H$38,$J13*$K13*Calculadores!$B$35*365*24,IF($H13=$H$39,$K13*Calculadores!$B$57,IF($H13=$H$40,$K13*Calculadores!$B$77,IF($H13=$H$41,$K13*Calculadores!$B$103*$J13/Calculadores!$B$96,IF($H13=$H$42,$J13/1000*$K13*Calculadores!$B$125*5*52,IF($H13=$H$43,$J13/1000*$K13*Calculadores!$H$125*5*52,IF($H13=$H$44,$J13*$K13*Calculadores!$B$153*Calculadores!$B$152,IF($H13=$H$45,$J13*$K13*Calculadores!$B$180*Calculadores!$B$179,IF($H13=$H$46,$J13*$K13*Calculadores!$B$207*Calculadores!$B$206,IF($H13=$H$47,$J13*$K13*Calculadores!$B$235*Calculadores!$B$234,0)))))))))))</f>
        <v>0</v>
      </c>
      <c r="AP13" s="647">
        <f t="shared" si="35"/>
        <v>0</v>
      </c>
      <c r="AQ13" s="577">
        <f t="shared" si="6"/>
        <v>0</v>
      </c>
      <c r="AR13" s="578">
        <f t="shared" ref="AR13:AR29" si="63">+AM13*AO13</f>
        <v>0</v>
      </c>
      <c r="AS13" s="578">
        <f t="shared" si="36"/>
        <v>0</v>
      </c>
      <c r="AT13" s="569" t="s">
        <v>17</v>
      </c>
      <c r="AU13" s="579"/>
      <c r="AV13" s="580">
        <f t="shared" si="7"/>
        <v>0</v>
      </c>
      <c r="AW13" s="581"/>
      <c r="AX13" s="580">
        <f t="shared" si="8"/>
        <v>0</v>
      </c>
      <c r="AY13" s="582">
        <f t="shared" si="9"/>
        <v>0</v>
      </c>
      <c r="AZ13" s="583">
        <f t="shared" si="37"/>
        <v>0</v>
      </c>
      <c r="BA13" s="584">
        <f t="shared" si="10"/>
        <v>0</v>
      </c>
      <c r="BB13" s="473" t="s">
        <v>74</v>
      </c>
      <c r="BC13" s="524">
        <f t="shared" si="38"/>
        <v>0</v>
      </c>
      <c r="BD13" s="675">
        <f t="shared" si="11"/>
        <v>0</v>
      </c>
      <c r="BE13" s="469">
        <f t="shared" si="12"/>
        <v>0</v>
      </c>
      <c r="BF13" s="470">
        <f t="shared" si="13"/>
        <v>0</v>
      </c>
      <c r="BG13" s="469">
        <f t="shared" si="14"/>
        <v>0</v>
      </c>
      <c r="BH13" s="742" t="str">
        <f>+IF(D13="Seleccione","",VLOOKUP(D13,'Datos Instalaciones'!$E$15:$F$34,2,FALSE))</f>
        <v/>
      </c>
      <c r="BI13" s="742">
        <f t="shared" si="39"/>
        <v>1</v>
      </c>
      <c r="BJ13" s="706" t="s">
        <v>17</v>
      </c>
      <c r="BK13" s="372">
        <f t="shared" si="40"/>
        <v>1</v>
      </c>
      <c r="BL13" s="669" t="str">
        <f t="shared" si="54"/>
        <v>Seleccione</v>
      </c>
      <c r="BM13" s="670">
        <f t="shared" si="15"/>
        <v>1</v>
      </c>
      <c r="BN13" s="669" t="str">
        <f t="shared" si="41"/>
        <v>No</v>
      </c>
      <c r="BO13" s="670">
        <f t="shared" si="16"/>
        <v>1</v>
      </c>
      <c r="BP13" s="669" t="str">
        <f t="shared" si="55"/>
        <v>Seleccione</v>
      </c>
      <c r="BQ13" s="671">
        <f>+IF('Datos Instalaciones'!$D$12="Residencial",MMEE!$BQ$37,1)</f>
        <v>1</v>
      </c>
      <c r="BR13" s="708" t="s">
        <v>17</v>
      </c>
      <c r="BS13" s="372">
        <f t="shared" si="17"/>
        <v>1</v>
      </c>
      <c r="BT13" s="706" t="s">
        <v>17</v>
      </c>
      <c r="BU13" s="372">
        <f t="shared" si="18"/>
        <v>1</v>
      </c>
      <c r="BV13" s="706" t="s">
        <v>17</v>
      </c>
      <c r="BW13" s="372">
        <f t="shared" si="19"/>
        <v>1</v>
      </c>
      <c r="BX13" s="481">
        <v>1</v>
      </c>
      <c r="BY13" s="670">
        <f t="shared" si="56"/>
        <v>1</v>
      </c>
      <c r="BZ13" s="670">
        <f t="shared" si="57"/>
        <v>1</v>
      </c>
      <c r="CA13" s="670">
        <f t="shared" si="58"/>
        <v>1</v>
      </c>
      <c r="CB13" s="670">
        <f t="shared" si="59"/>
        <v>1</v>
      </c>
      <c r="CC13" s="670">
        <f t="shared" si="60"/>
        <v>1</v>
      </c>
      <c r="CD13" s="670">
        <f t="shared" si="61"/>
        <v>1</v>
      </c>
      <c r="CE13" s="670">
        <f t="shared" si="62"/>
        <v>1</v>
      </c>
      <c r="CF13" s="485" t="s">
        <v>17</v>
      </c>
      <c r="CG13" s="486">
        <f t="shared" si="20"/>
        <v>1</v>
      </c>
      <c r="CH13" s="494">
        <v>1</v>
      </c>
      <c r="CI13" s="429">
        <f t="shared" si="43"/>
        <v>1</v>
      </c>
      <c r="CJ13" s="372">
        <f t="shared" si="44"/>
        <v>1</v>
      </c>
      <c r="CK13" s="498">
        <f t="shared" si="45"/>
        <v>0</v>
      </c>
      <c r="CL13" s="376">
        <f t="shared" si="46"/>
        <v>0</v>
      </c>
      <c r="CM13" s="498" t="e">
        <f t="shared" si="47"/>
        <v>#VALUE!</v>
      </c>
      <c r="CN13" s="376" t="e">
        <f t="shared" si="48"/>
        <v>#VALUE!</v>
      </c>
      <c r="CO13" s="500" t="e">
        <f t="shared" si="49"/>
        <v>#VALUE!</v>
      </c>
      <c r="CP13" s="373" t="e">
        <f t="shared" si="50"/>
        <v>#VALUE!</v>
      </c>
      <c r="CQ13" s="505">
        <f t="shared" si="51"/>
        <v>0</v>
      </c>
      <c r="CR13" s="505">
        <f t="shared" si="21"/>
        <v>0</v>
      </c>
      <c r="CS13" s="800"/>
      <c r="CT13" s="793"/>
    </row>
    <row r="14" spans="1:98" s="9" customFormat="1" ht="45" customHeight="1" thickBot="1" x14ac:dyDescent="0.3">
      <c r="B14" s="664">
        <f t="shared" si="52"/>
        <v>0</v>
      </c>
      <c r="C14" s="664">
        <f t="shared" si="53"/>
        <v>0</v>
      </c>
      <c r="D14" s="367" t="s">
        <v>17</v>
      </c>
      <c r="E14" s="663" t="str">
        <f>IF(D14="Seleccione","",VLOOKUP(MMEE!D14,'Datos Instalaciones'!$E$15:$AD$34,24,))</f>
        <v/>
      </c>
      <c r="F14" s="366">
        <v>5</v>
      </c>
      <c r="G14" s="663" t="s">
        <v>452</v>
      </c>
      <c r="H14" s="367" t="s">
        <v>17</v>
      </c>
      <c r="I14" s="507">
        <f t="shared" si="22"/>
        <v>0</v>
      </c>
      <c r="J14" s="375"/>
      <c r="K14" s="691"/>
      <c r="L14" s="467" t="str">
        <f t="shared" si="23"/>
        <v>Seleccione</v>
      </c>
      <c r="M14" s="467" t="str">
        <f t="shared" si="24"/>
        <v>Seleccione</v>
      </c>
      <c r="N14" s="370"/>
      <c r="O14" s="662" t="str">
        <f t="shared" si="0"/>
        <v/>
      </c>
      <c r="P14" s="703" t="s">
        <v>17</v>
      </c>
      <c r="Q14" s="519" t="s">
        <v>74</v>
      </c>
      <c r="R14" s="438" t="s">
        <v>17</v>
      </c>
      <c r="S14" s="522"/>
      <c r="T14" s="374"/>
      <c r="U14" s="474" t="s">
        <v>82</v>
      </c>
      <c r="V14" s="563" t="str">
        <f t="shared" si="1"/>
        <v>Seleccione</v>
      </c>
      <c r="W14" s="564">
        <f t="shared" si="25"/>
        <v>0</v>
      </c>
      <c r="X14" s="565">
        <f t="shared" si="26"/>
        <v>0</v>
      </c>
      <c r="Y14" s="565">
        <f>+IF($H14=$H$37,$K14*Calculadores!$B$9,IF($H14=$H$38,IF('Datos Instalaciones'!D16="Residencial",$J14*$K14*Calculadores!$B$32*365*24,$J14*$K14*Calculadores!$B$32*365*24*0.7),IF($H14=$H$39,$K14*Calculadores!$B$55,IF($H14=$H$40,$K14*Calculadores!$B$76,IF($H14=$H$41,($K14/Calculadores!$B$96)*$J14*Calculadores!$B$100,IF($H14=$H$42,$J14/Calculadores!$B$124/1000*$K14*Calculadores!$B$125*5*52,IF($H14=$H$43,$J14/Calculadores!$H$124/1000*$K14*Calculadores!$H$125*5*52,IF($H14=$H$44,$J14*$K14*Calculadores!$B$151*Calculadores!$B$153,IF($H14=$H$45,$J14*$K14*Calculadores!$B$180*Calculadores!$B$178,IF($H14=$H$46,$J14*$K14*Calculadores!$B$207*Calculadores!$B$205,IF($H14=$H$47,$J14*$K14*Calculadores!$B$235*Calculadores!$B$233,0)))))))))))</f>
        <v>0</v>
      </c>
      <c r="Z14" s="563">
        <f t="shared" si="27"/>
        <v>0</v>
      </c>
      <c r="AA14" s="566">
        <f t="shared" si="28"/>
        <v>0</v>
      </c>
      <c r="AB14" s="567">
        <f t="shared" si="29"/>
        <v>0</v>
      </c>
      <c r="AC14" s="568">
        <f t="shared" si="30"/>
        <v>0</v>
      </c>
      <c r="AD14" s="569" t="s">
        <v>17</v>
      </c>
      <c r="AE14" s="570"/>
      <c r="AF14" s="571">
        <f t="shared" si="2"/>
        <v>0</v>
      </c>
      <c r="AG14" s="572"/>
      <c r="AH14" s="571">
        <f t="shared" si="3"/>
        <v>0</v>
      </c>
      <c r="AI14" s="573">
        <f t="shared" si="4"/>
        <v>0</v>
      </c>
      <c r="AJ14" s="574">
        <f t="shared" si="31"/>
        <v>0</v>
      </c>
      <c r="AK14" s="574">
        <f t="shared" si="5"/>
        <v>0</v>
      </c>
      <c r="AL14" s="575" t="str">
        <f t="shared" si="32"/>
        <v>Seleccione</v>
      </c>
      <c r="AM14" s="647">
        <f t="shared" si="33"/>
        <v>0</v>
      </c>
      <c r="AN14" s="647">
        <f t="shared" si="34"/>
        <v>0</v>
      </c>
      <c r="AO14" s="576">
        <f>+IF($H14=$H$37,$K14*Calculadores!$B$10,IF($H14=$H$38,$J14*$K14*Calculadores!$B$35*365*24,IF($H14=$H$39,$K14*Calculadores!$B$57,IF($H14=$H$40,$K14*Calculadores!$B$77,IF($H14=$H$41,$K14*Calculadores!$B$103*$J14/Calculadores!$B$96,IF($H14=$H$42,$J14/1000*$K14*Calculadores!$B$125*5*52,IF($H14=$H$43,$J14/1000*$K14*Calculadores!$H$125*5*52,IF($H14=$H$44,$J14*$K14*Calculadores!$B$153*Calculadores!$B$152,IF($H14=$H$45,$J14*$K14*Calculadores!$B$180*Calculadores!$B$179,IF($H14=$H$46,$J14*$K14*Calculadores!$B$207*Calculadores!$B$206,IF($H14=$H$47,$J14*$K14*Calculadores!$B$235*Calculadores!$B$234,0)))))))))))</f>
        <v>0</v>
      </c>
      <c r="AP14" s="647">
        <f t="shared" si="35"/>
        <v>0</v>
      </c>
      <c r="AQ14" s="577">
        <f t="shared" si="6"/>
        <v>0</v>
      </c>
      <c r="AR14" s="578">
        <f t="shared" si="63"/>
        <v>0</v>
      </c>
      <c r="AS14" s="578">
        <f t="shared" si="36"/>
        <v>0</v>
      </c>
      <c r="AT14" s="569" t="s">
        <v>17</v>
      </c>
      <c r="AU14" s="579"/>
      <c r="AV14" s="580">
        <f t="shared" si="7"/>
        <v>0</v>
      </c>
      <c r="AW14" s="581"/>
      <c r="AX14" s="580">
        <f t="shared" si="8"/>
        <v>0</v>
      </c>
      <c r="AY14" s="582">
        <f t="shared" si="9"/>
        <v>0</v>
      </c>
      <c r="AZ14" s="583">
        <f t="shared" si="37"/>
        <v>0</v>
      </c>
      <c r="BA14" s="584">
        <f t="shared" si="10"/>
        <v>0</v>
      </c>
      <c r="BB14" s="473" t="s">
        <v>74</v>
      </c>
      <c r="BC14" s="524">
        <f t="shared" si="38"/>
        <v>0</v>
      </c>
      <c r="BD14" s="675">
        <f t="shared" si="11"/>
        <v>0</v>
      </c>
      <c r="BE14" s="469">
        <f t="shared" si="12"/>
        <v>0</v>
      </c>
      <c r="BF14" s="470">
        <f t="shared" si="13"/>
        <v>0</v>
      </c>
      <c r="BG14" s="469">
        <f t="shared" si="14"/>
        <v>0</v>
      </c>
      <c r="BH14" s="742" t="str">
        <f>+IF(D14="Seleccione","",VLOOKUP(D14,'Datos Instalaciones'!$E$15:$F$34,2,FALSE))</f>
        <v/>
      </c>
      <c r="BI14" s="742">
        <f t="shared" si="39"/>
        <v>1</v>
      </c>
      <c r="BJ14" s="706" t="s">
        <v>17</v>
      </c>
      <c r="BK14" s="372">
        <f t="shared" si="40"/>
        <v>1</v>
      </c>
      <c r="BL14" s="669" t="str">
        <f t="shared" si="54"/>
        <v>Seleccione</v>
      </c>
      <c r="BM14" s="670">
        <f t="shared" si="15"/>
        <v>1</v>
      </c>
      <c r="BN14" s="669" t="str">
        <f t="shared" si="41"/>
        <v>No</v>
      </c>
      <c r="BO14" s="670">
        <f t="shared" si="16"/>
        <v>1</v>
      </c>
      <c r="BP14" s="669" t="str">
        <f t="shared" si="55"/>
        <v>Seleccione</v>
      </c>
      <c r="BQ14" s="671">
        <f>+IF('Datos Instalaciones'!$D$12="Residencial",MMEE!$BQ$37,1)</f>
        <v>1</v>
      </c>
      <c r="BR14" s="708" t="s">
        <v>17</v>
      </c>
      <c r="BS14" s="372">
        <f t="shared" si="17"/>
        <v>1</v>
      </c>
      <c r="BT14" s="706" t="s">
        <v>17</v>
      </c>
      <c r="BU14" s="372">
        <f t="shared" si="18"/>
        <v>1</v>
      </c>
      <c r="BV14" s="706" t="s">
        <v>17</v>
      </c>
      <c r="BW14" s="372">
        <f t="shared" si="19"/>
        <v>1</v>
      </c>
      <c r="BX14" s="481">
        <v>1</v>
      </c>
      <c r="BY14" s="670">
        <f t="shared" si="56"/>
        <v>1</v>
      </c>
      <c r="BZ14" s="670">
        <f t="shared" si="57"/>
        <v>1</v>
      </c>
      <c r="CA14" s="670">
        <f t="shared" si="58"/>
        <v>1</v>
      </c>
      <c r="CB14" s="670">
        <f t="shared" si="59"/>
        <v>1</v>
      </c>
      <c r="CC14" s="670">
        <f t="shared" si="60"/>
        <v>1</v>
      </c>
      <c r="CD14" s="670">
        <f t="shared" si="61"/>
        <v>1</v>
      </c>
      <c r="CE14" s="670">
        <f t="shared" si="62"/>
        <v>1</v>
      </c>
      <c r="CF14" s="485" t="s">
        <v>17</v>
      </c>
      <c r="CG14" s="486">
        <f t="shared" si="20"/>
        <v>1</v>
      </c>
      <c r="CH14" s="494">
        <v>1</v>
      </c>
      <c r="CI14" s="429">
        <f t="shared" si="43"/>
        <v>1</v>
      </c>
      <c r="CJ14" s="372">
        <f t="shared" si="44"/>
        <v>1</v>
      </c>
      <c r="CK14" s="498">
        <f t="shared" si="45"/>
        <v>0</v>
      </c>
      <c r="CL14" s="376">
        <f t="shared" si="46"/>
        <v>0</v>
      </c>
      <c r="CM14" s="498" t="e">
        <f t="shared" si="47"/>
        <v>#VALUE!</v>
      </c>
      <c r="CN14" s="376" t="e">
        <f t="shared" si="48"/>
        <v>#VALUE!</v>
      </c>
      <c r="CO14" s="500" t="e">
        <f t="shared" si="49"/>
        <v>#VALUE!</v>
      </c>
      <c r="CP14" s="373" t="e">
        <f t="shared" si="50"/>
        <v>#VALUE!</v>
      </c>
      <c r="CQ14" s="505">
        <f t="shared" si="51"/>
        <v>0</v>
      </c>
      <c r="CR14" s="505">
        <f t="shared" si="21"/>
        <v>0</v>
      </c>
      <c r="CS14" s="800"/>
      <c r="CT14" s="793"/>
    </row>
    <row r="15" spans="1:98" s="9" customFormat="1" ht="45" customHeight="1" thickBot="1" x14ac:dyDescent="0.3">
      <c r="B15" s="664">
        <f t="shared" si="52"/>
        <v>0</v>
      </c>
      <c r="C15" s="664">
        <f t="shared" si="53"/>
        <v>0</v>
      </c>
      <c r="D15" s="367" t="s">
        <v>17</v>
      </c>
      <c r="E15" s="663" t="str">
        <f>IF(D15="Seleccione","",VLOOKUP(MMEE!D15,'Datos Instalaciones'!$E$15:$AD$34,24,))</f>
        <v/>
      </c>
      <c r="F15" s="366">
        <v>6</v>
      </c>
      <c r="G15" s="663" t="s">
        <v>452</v>
      </c>
      <c r="H15" s="367" t="s">
        <v>17</v>
      </c>
      <c r="I15" s="507">
        <f t="shared" si="22"/>
        <v>0</v>
      </c>
      <c r="J15" s="375"/>
      <c r="K15" s="691"/>
      <c r="L15" s="467" t="str">
        <f t="shared" si="23"/>
        <v>Seleccione</v>
      </c>
      <c r="M15" s="467" t="str">
        <f t="shared" si="24"/>
        <v>Seleccione</v>
      </c>
      <c r="N15" s="370"/>
      <c r="O15" s="662" t="str">
        <f t="shared" si="0"/>
        <v/>
      </c>
      <c r="P15" s="703" t="s">
        <v>17</v>
      </c>
      <c r="Q15" s="519" t="s">
        <v>74</v>
      </c>
      <c r="R15" s="438" t="s">
        <v>17</v>
      </c>
      <c r="S15" s="522"/>
      <c r="T15" s="374"/>
      <c r="U15" s="474" t="s">
        <v>82</v>
      </c>
      <c r="V15" s="563" t="str">
        <f t="shared" si="1"/>
        <v>Seleccione</v>
      </c>
      <c r="W15" s="564">
        <f t="shared" si="25"/>
        <v>0</v>
      </c>
      <c r="X15" s="565">
        <f t="shared" si="26"/>
        <v>0</v>
      </c>
      <c r="Y15" s="565">
        <f>+IF($H15=$H$37,$K15*Calculadores!$B$9,IF($H15=$H$38,IF('Datos Instalaciones'!D17="Residencial",$J15*$K15*Calculadores!$B$32*365*24,$J15*$K15*Calculadores!$B$32*365*24*0.7),IF($H15=$H$39,$K15*Calculadores!$B$55,IF($H15=$H$40,$K15*Calculadores!$B$76,IF($H15=$H$41,($K15/Calculadores!$B$96)*$J15*Calculadores!$B$100,IF($H15=$H$42,$J15/Calculadores!$B$124/1000*$K15*Calculadores!$B$125*5*52,IF($H15=$H$43,$J15/Calculadores!$H$124/1000*$K15*Calculadores!$H$125*5*52,IF($H15=$H$44,$J15*$K15*Calculadores!$B$151*Calculadores!$B$153,IF($H15=$H$45,$J15*$K15*Calculadores!$B$180*Calculadores!$B$178,IF($H15=$H$46,$J15*$K15*Calculadores!$B$207*Calculadores!$B$205,IF($H15=$H$47,$J15*$K15*Calculadores!$B$235*Calculadores!$B$233,0)))))))))))</f>
        <v>0</v>
      </c>
      <c r="Z15" s="563">
        <f t="shared" si="27"/>
        <v>0</v>
      </c>
      <c r="AA15" s="566">
        <f t="shared" si="28"/>
        <v>0</v>
      </c>
      <c r="AB15" s="567">
        <f t="shared" si="29"/>
        <v>0</v>
      </c>
      <c r="AC15" s="568">
        <f t="shared" si="30"/>
        <v>0</v>
      </c>
      <c r="AD15" s="569" t="s">
        <v>17</v>
      </c>
      <c r="AE15" s="570"/>
      <c r="AF15" s="571">
        <f t="shared" si="2"/>
        <v>0</v>
      </c>
      <c r="AG15" s="572"/>
      <c r="AH15" s="571">
        <f t="shared" si="3"/>
        <v>0</v>
      </c>
      <c r="AI15" s="573">
        <f t="shared" si="4"/>
        <v>0</v>
      </c>
      <c r="AJ15" s="574">
        <f t="shared" si="31"/>
        <v>0</v>
      </c>
      <c r="AK15" s="574">
        <f t="shared" si="5"/>
        <v>0</v>
      </c>
      <c r="AL15" s="575" t="str">
        <f t="shared" si="32"/>
        <v>Seleccione</v>
      </c>
      <c r="AM15" s="647">
        <f t="shared" si="33"/>
        <v>0</v>
      </c>
      <c r="AN15" s="647">
        <f t="shared" si="34"/>
        <v>0</v>
      </c>
      <c r="AO15" s="576">
        <f>+IF($H15=$H$37,$K15*Calculadores!$B$10,IF($H15=$H$38,$J15*$K15*Calculadores!$B$35*365*24,IF($H15=$H$39,$K15*Calculadores!$B$57,IF($H15=$H$40,$K15*Calculadores!$B$77,IF($H15=$H$41,$K15*Calculadores!$B$103*$J15/Calculadores!$B$96,IF($H15=$H$42,$J15/1000*$K15*Calculadores!$B$125*5*52,IF($H15=$H$43,$J15/1000*$K15*Calculadores!$H$125*5*52,IF($H15=$H$44,$J15*$K15*Calculadores!$B$153*Calculadores!$B$152,IF($H15=$H$45,$J15*$K15*Calculadores!$B$180*Calculadores!$B$179,IF($H15=$H$46,$J15*$K15*Calculadores!$B$207*Calculadores!$B$206,IF($H15=$H$47,$J15*$K15*Calculadores!$B$235*Calculadores!$B$234,0)))))))))))</f>
        <v>0</v>
      </c>
      <c r="AP15" s="647">
        <f t="shared" si="35"/>
        <v>0</v>
      </c>
      <c r="AQ15" s="577">
        <f t="shared" si="6"/>
        <v>0</v>
      </c>
      <c r="AR15" s="578">
        <f t="shared" si="63"/>
        <v>0</v>
      </c>
      <c r="AS15" s="578">
        <f t="shared" si="36"/>
        <v>0</v>
      </c>
      <c r="AT15" s="569" t="s">
        <v>17</v>
      </c>
      <c r="AU15" s="579"/>
      <c r="AV15" s="580">
        <f t="shared" si="7"/>
        <v>0</v>
      </c>
      <c r="AW15" s="581"/>
      <c r="AX15" s="580">
        <f t="shared" si="8"/>
        <v>0</v>
      </c>
      <c r="AY15" s="582">
        <f t="shared" si="9"/>
        <v>0</v>
      </c>
      <c r="AZ15" s="583">
        <f t="shared" si="37"/>
        <v>0</v>
      </c>
      <c r="BA15" s="584">
        <f t="shared" si="10"/>
        <v>0</v>
      </c>
      <c r="BB15" s="473" t="s">
        <v>74</v>
      </c>
      <c r="BC15" s="524">
        <f t="shared" si="38"/>
        <v>0</v>
      </c>
      <c r="BD15" s="675">
        <f>-IF(BC15&gt;0,PV($CN$37,$O15,BC15,0,1),0)</f>
        <v>0</v>
      </c>
      <c r="BE15" s="469">
        <f t="shared" si="12"/>
        <v>0</v>
      </c>
      <c r="BF15" s="470">
        <f t="shared" si="13"/>
        <v>0</v>
      </c>
      <c r="BG15" s="469">
        <f t="shared" si="14"/>
        <v>0</v>
      </c>
      <c r="BH15" s="742" t="str">
        <f>+IF(D15="Seleccione","",VLOOKUP(D15,'Datos Instalaciones'!$E$15:$F$34,2,FALSE))</f>
        <v/>
      </c>
      <c r="BI15" s="742">
        <f t="shared" si="39"/>
        <v>1</v>
      </c>
      <c r="BJ15" s="706" t="s">
        <v>17</v>
      </c>
      <c r="BK15" s="372">
        <f t="shared" si="40"/>
        <v>1</v>
      </c>
      <c r="BL15" s="669" t="str">
        <f t="shared" si="54"/>
        <v>Seleccione</v>
      </c>
      <c r="BM15" s="670">
        <f t="shared" si="15"/>
        <v>1</v>
      </c>
      <c r="BN15" s="669" t="str">
        <f t="shared" si="41"/>
        <v>No</v>
      </c>
      <c r="BO15" s="670">
        <f t="shared" si="16"/>
        <v>1</v>
      </c>
      <c r="BP15" s="669" t="str">
        <f t="shared" si="55"/>
        <v>Seleccione</v>
      </c>
      <c r="BQ15" s="671">
        <f>+IF('Datos Instalaciones'!$D$12="Residencial",MMEE!$BQ$37,1)</f>
        <v>1</v>
      </c>
      <c r="BR15" s="708" t="s">
        <v>17</v>
      </c>
      <c r="BS15" s="372">
        <f t="shared" si="17"/>
        <v>1</v>
      </c>
      <c r="BT15" s="706" t="s">
        <v>17</v>
      </c>
      <c r="BU15" s="372">
        <f t="shared" si="18"/>
        <v>1</v>
      </c>
      <c r="BV15" s="706" t="s">
        <v>17</v>
      </c>
      <c r="BW15" s="372">
        <f t="shared" si="19"/>
        <v>1</v>
      </c>
      <c r="BX15" s="481">
        <v>1</v>
      </c>
      <c r="BY15" s="670">
        <f t="shared" si="56"/>
        <v>1</v>
      </c>
      <c r="BZ15" s="670">
        <f t="shared" si="57"/>
        <v>1</v>
      </c>
      <c r="CA15" s="670">
        <f t="shared" si="58"/>
        <v>1</v>
      </c>
      <c r="CB15" s="670">
        <f t="shared" si="59"/>
        <v>1</v>
      </c>
      <c r="CC15" s="670">
        <f t="shared" si="60"/>
        <v>1</v>
      </c>
      <c r="CD15" s="670">
        <f t="shared" si="61"/>
        <v>1</v>
      </c>
      <c r="CE15" s="670">
        <f t="shared" si="62"/>
        <v>1</v>
      </c>
      <c r="CF15" s="485" t="s">
        <v>17</v>
      </c>
      <c r="CG15" s="486">
        <f t="shared" si="20"/>
        <v>1</v>
      </c>
      <c r="CH15" s="494">
        <v>1</v>
      </c>
      <c r="CI15" s="429">
        <f t="shared" si="43"/>
        <v>1</v>
      </c>
      <c r="CJ15" s="372">
        <f t="shared" si="44"/>
        <v>1</v>
      </c>
      <c r="CK15" s="498">
        <f t="shared" si="45"/>
        <v>0</v>
      </c>
      <c r="CL15" s="376">
        <f t="shared" si="46"/>
        <v>0</v>
      </c>
      <c r="CM15" s="498" t="e">
        <f t="shared" si="47"/>
        <v>#VALUE!</v>
      </c>
      <c r="CN15" s="376" t="e">
        <f t="shared" si="48"/>
        <v>#VALUE!</v>
      </c>
      <c r="CO15" s="500" t="e">
        <f t="shared" si="49"/>
        <v>#VALUE!</v>
      </c>
      <c r="CP15" s="373" t="e">
        <f t="shared" si="50"/>
        <v>#VALUE!</v>
      </c>
      <c r="CQ15" s="505">
        <f t="shared" si="51"/>
        <v>0</v>
      </c>
      <c r="CR15" s="505">
        <f t="shared" si="21"/>
        <v>0</v>
      </c>
      <c r="CS15" s="800"/>
      <c r="CT15" s="793"/>
    </row>
    <row r="16" spans="1:98" s="9" customFormat="1" ht="45" customHeight="1" thickBot="1" x14ac:dyDescent="0.3">
      <c r="B16" s="664">
        <f t="shared" si="52"/>
        <v>0</v>
      </c>
      <c r="C16" s="664">
        <f t="shared" si="53"/>
        <v>0</v>
      </c>
      <c r="D16" s="367" t="s">
        <v>17</v>
      </c>
      <c r="E16" s="663" t="str">
        <f>IF(D16="Seleccione","",VLOOKUP(MMEE!D16,'Datos Instalaciones'!$E$15:$AD$34,24,))</f>
        <v/>
      </c>
      <c r="F16" s="366">
        <v>7</v>
      </c>
      <c r="G16" s="663" t="s">
        <v>452</v>
      </c>
      <c r="H16" s="367" t="s">
        <v>17</v>
      </c>
      <c r="I16" s="507">
        <f t="shared" si="22"/>
        <v>0</v>
      </c>
      <c r="J16" s="375"/>
      <c r="K16" s="691"/>
      <c r="L16" s="467" t="str">
        <f t="shared" si="23"/>
        <v>Seleccione</v>
      </c>
      <c r="M16" s="467" t="str">
        <f t="shared" si="24"/>
        <v>Seleccione</v>
      </c>
      <c r="N16" s="370"/>
      <c r="O16" s="662" t="str">
        <f t="shared" si="0"/>
        <v/>
      </c>
      <c r="P16" s="703" t="s">
        <v>17</v>
      </c>
      <c r="Q16" s="519" t="s">
        <v>74</v>
      </c>
      <c r="R16" s="438" t="s">
        <v>17</v>
      </c>
      <c r="S16" s="522"/>
      <c r="T16" s="374"/>
      <c r="U16" s="474" t="s">
        <v>82</v>
      </c>
      <c r="V16" s="563" t="str">
        <f t="shared" si="1"/>
        <v>Seleccione</v>
      </c>
      <c r="W16" s="564">
        <f t="shared" si="25"/>
        <v>0</v>
      </c>
      <c r="X16" s="565">
        <f t="shared" si="26"/>
        <v>0</v>
      </c>
      <c r="Y16" s="565">
        <f>+IF($H16=$H$37,$K16*Calculadores!$B$9,IF($H16=$H$38,IF('Datos Instalaciones'!D18="Residencial",$J16*$K16*Calculadores!$B$32*365*24,$J16*$K16*Calculadores!$B$32*365*24*0.7),IF($H16=$H$39,$K16*Calculadores!$B$55,IF($H16=$H$40,$K16*Calculadores!$B$76,IF($H16=$H$41,($K16/Calculadores!$B$96)*$J16*Calculadores!$B$100,IF($H16=$H$42,$J16/Calculadores!$B$124/1000*$K16*Calculadores!$B$125*5*52,IF($H16=$H$43,$J16/Calculadores!$H$124/1000*$K16*Calculadores!$H$125*5*52,IF($H16=$H$44,$J16*$K16*Calculadores!$B$151*Calculadores!$B$153,IF($H16=$H$45,$J16*$K16*Calculadores!$B$180*Calculadores!$B$178,IF($H16=$H$46,$J16*$K16*Calculadores!$B$207*Calculadores!$B$205,IF($H16=$H$47,$J16*$K16*Calculadores!$B$235*Calculadores!$B$233,0)))))))))))</f>
        <v>0</v>
      </c>
      <c r="Z16" s="563">
        <f t="shared" si="27"/>
        <v>0</v>
      </c>
      <c r="AA16" s="566">
        <f t="shared" si="28"/>
        <v>0</v>
      </c>
      <c r="AB16" s="567">
        <f t="shared" si="29"/>
        <v>0</v>
      </c>
      <c r="AC16" s="568">
        <f t="shared" si="30"/>
        <v>0</v>
      </c>
      <c r="AD16" s="569" t="s">
        <v>17</v>
      </c>
      <c r="AE16" s="570"/>
      <c r="AF16" s="571">
        <f t="shared" si="2"/>
        <v>0</v>
      </c>
      <c r="AG16" s="572"/>
      <c r="AH16" s="571">
        <f t="shared" si="3"/>
        <v>0</v>
      </c>
      <c r="AI16" s="573">
        <f t="shared" si="4"/>
        <v>0</v>
      </c>
      <c r="AJ16" s="574">
        <f t="shared" si="31"/>
        <v>0</v>
      </c>
      <c r="AK16" s="574">
        <f t="shared" si="5"/>
        <v>0</v>
      </c>
      <c r="AL16" s="575" t="str">
        <f t="shared" si="32"/>
        <v>Seleccione</v>
      </c>
      <c r="AM16" s="647">
        <f t="shared" si="33"/>
        <v>0</v>
      </c>
      <c r="AN16" s="647">
        <f t="shared" si="34"/>
        <v>0</v>
      </c>
      <c r="AO16" s="576">
        <f>+IF($H16=$H$37,$K16*Calculadores!$B$10,IF($H16=$H$38,$J16*$K16*Calculadores!$B$35*365*24,IF($H16=$H$39,$K16*Calculadores!$B$57,IF($H16=$H$40,$K16*Calculadores!$B$77,IF($H16=$H$41,$K16*Calculadores!$B$103*$J16/Calculadores!$B$96,IF($H16=$H$42,$J16/1000*$K16*Calculadores!$B$125*5*52,IF($H16=$H$43,$J16/1000*$K16*Calculadores!$H$125*5*52,IF($H16=$H$44,$J16*$K16*Calculadores!$B$153*Calculadores!$B$152,IF($H16=$H$45,$J16*$K16*Calculadores!$B$180*Calculadores!$B$179,IF($H16=$H$46,$J16*$K16*Calculadores!$B$207*Calculadores!$B$206,IF($H16=$H$47,$J16*$K16*Calculadores!$B$235*Calculadores!$B$234,0)))))))))))</f>
        <v>0</v>
      </c>
      <c r="AP16" s="647">
        <f t="shared" si="35"/>
        <v>0</v>
      </c>
      <c r="AQ16" s="577">
        <f t="shared" si="6"/>
        <v>0</v>
      </c>
      <c r="AR16" s="578">
        <f t="shared" si="63"/>
        <v>0</v>
      </c>
      <c r="AS16" s="578">
        <f t="shared" si="36"/>
        <v>0</v>
      </c>
      <c r="AT16" s="569" t="s">
        <v>17</v>
      </c>
      <c r="AU16" s="579"/>
      <c r="AV16" s="580">
        <f t="shared" si="7"/>
        <v>0</v>
      </c>
      <c r="AW16" s="581"/>
      <c r="AX16" s="580">
        <f t="shared" si="8"/>
        <v>0</v>
      </c>
      <c r="AY16" s="582">
        <f t="shared" si="9"/>
        <v>0</v>
      </c>
      <c r="AZ16" s="583">
        <f t="shared" si="37"/>
        <v>0</v>
      </c>
      <c r="BA16" s="584">
        <f t="shared" si="10"/>
        <v>0</v>
      </c>
      <c r="BB16" s="473" t="s">
        <v>74</v>
      </c>
      <c r="BC16" s="524">
        <f t="shared" si="38"/>
        <v>0</v>
      </c>
      <c r="BD16" s="675">
        <f t="shared" si="11"/>
        <v>0</v>
      </c>
      <c r="BE16" s="469">
        <f t="shared" si="12"/>
        <v>0</v>
      </c>
      <c r="BF16" s="470">
        <f t="shared" si="13"/>
        <v>0</v>
      </c>
      <c r="BG16" s="469">
        <f t="shared" si="14"/>
        <v>0</v>
      </c>
      <c r="BH16" s="742" t="str">
        <f>+IF(D16="Seleccione","",VLOOKUP(D16,'Datos Instalaciones'!$E$15:$F$34,2,FALSE))</f>
        <v/>
      </c>
      <c r="BI16" s="742">
        <f t="shared" si="39"/>
        <v>1</v>
      </c>
      <c r="BJ16" s="706" t="s">
        <v>17</v>
      </c>
      <c r="BK16" s="372">
        <f t="shared" si="40"/>
        <v>1</v>
      </c>
      <c r="BL16" s="669" t="str">
        <f t="shared" si="54"/>
        <v>Seleccione</v>
      </c>
      <c r="BM16" s="670">
        <f t="shared" si="15"/>
        <v>1</v>
      </c>
      <c r="BN16" s="669" t="str">
        <f t="shared" si="41"/>
        <v>No</v>
      </c>
      <c r="BO16" s="670">
        <f t="shared" si="16"/>
        <v>1</v>
      </c>
      <c r="BP16" s="669" t="str">
        <f t="shared" si="55"/>
        <v>Seleccione</v>
      </c>
      <c r="BQ16" s="671">
        <f>+IF('Datos Instalaciones'!$D$12="Residencial",MMEE!$BQ$37,1)</f>
        <v>1</v>
      </c>
      <c r="BR16" s="708" t="s">
        <v>17</v>
      </c>
      <c r="BS16" s="372">
        <f t="shared" si="17"/>
        <v>1</v>
      </c>
      <c r="BT16" s="706" t="s">
        <v>17</v>
      </c>
      <c r="BU16" s="372">
        <f t="shared" si="18"/>
        <v>1</v>
      </c>
      <c r="BV16" s="706" t="s">
        <v>17</v>
      </c>
      <c r="BW16" s="372">
        <f t="shared" si="19"/>
        <v>1</v>
      </c>
      <c r="BX16" s="481">
        <v>1</v>
      </c>
      <c r="BY16" s="670">
        <f t="shared" si="56"/>
        <v>1</v>
      </c>
      <c r="BZ16" s="670">
        <f t="shared" si="57"/>
        <v>1</v>
      </c>
      <c r="CA16" s="670">
        <f t="shared" si="58"/>
        <v>1</v>
      </c>
      <c r="CB16" s="670">
        <f t="shared" si="59"/>
        <v>1</v>
      </c>
      <c r="CC16" s="670">
        <f t="shared" si="60"/>
        <v>1</v>
      </c>
      <c r="CD16" s="670">
        <f t="shared" si="61"/>
        <v>1</v>
      </c>
      <c r="CE16" s="670">
        <f t="shared" si="62"/>
        <v>1</v>
      </c>
      <c r="CF16" s="485" t="s">
        <v>17</v>
      </c>
      <c r="CG16" s="486">
        <f t="shared" si="20"/>
        <v>1</v>
      </c>
      <c r="CH16" s="494">
        <v>1</v>
      </c>
      <c r="CI16" s="429">
        <f t="shared" si="43"/>
        <v>1</v>
      </c>
      <c r="CJ16" s="372">
        <f t="shared" si="44"/>
        <v>1</v>
      </c>
      <c r="CK16" s="498">
        <f t="shared" si="45"/>
        <v>0</v>
      </c>
      <c r="CL16" s="376">
        <f t="shared" si="46"/>
        <v>0</v>
      </c>
      <c r="CM16" s="498" t="e">
        <f t="shared" si="47"/>
        <v>#VALUE!</v>
      </c>
      <c r="CN16" s="376" t="e">
        <f t="shared" si="48"/>
        <v>#VALUE!</v>
      </c>
      <c r="CO16" s="500" t="e">
        <f t="shared" si="49"/>
        <v>#VALUE!</v>
      </c>
      <c r="CP16" s="373" t="e">
        <f t="shared" si="50"/>
        <v>#VALUE!</v>
      </c>
      <c r="CQ16" s="505">
        <f t="shared" si="51"/>
        <v>0</v>
      </c>
      <c r="CR16" s="505">
        <f t="shared" si="21"/>
        <v>0</v>
      </c>
      <c r="CS16" s="800"/>
      <c r="CT16" s="793"/>
    </row>
    <row r="17" spans="2:98" s="9" customFormat="1" ht="45" customHeight="1" thickBot="1" x14ac:dyDescent="0.3">
      <c r="B17" s="664">
        <f t="shared" si="52"/>
        <v>0</v>
      </c>
      <c r="C17" s="664">
        <f t="shared" si="53"/>
        <v>0</v>
      </c>
      <c r="D17" s="367" t="s">
        <v>17</v>
      </c>
      <c r="E17" s="663" t="str">
        <f>IF(D17="Seleccione","",VLOOKUP(MMEE!D17,'Datos Instalaciones'!$E$15:$AD$34,24,))</f>
        <v/>
      </c>
      <c r="F17" s="366">
        <v>8</v>
      </c>
      <c r="G17" s="663" t="s">
        <v>452</v>
      </c>
      <c r="H17" s="367" t="s">
        <v>17</v>
      </c>
      <c r="I17" s="507">
        <f t="shared" si="22"/>
        <v>0</v>
      </c>
      <c r="J17" s="375"/>
      <c r="K17" s="692"/>
      <c r="L17" s="467" t="str">
        <f t="shared" si="23"/>
        <v>Seleccione</v>
      </c>
      <c r="M17" s="467" t="str">
        <f t="shared" si="24"/>
        <v>Seleccione</v>
      </c>
      <c r="N17" s="370"/>
      <c r="O17" s="662" t="str">
        <f t="shared" si="0"/>
        <v/>
      </c>
      <c r="P17" s="703" t="s">
        <v>17</v>
      </c>
      <c r="Q17" s="519" t="s">
        <v>74</v>
      </c>
      <c r="R17" s="438" t="s">
        <v>17</v>
      </c>
      <c r="S17" s="522"/>
      <c r="T17" s="374"/>
      <c r="U17" s="474" t="s">
        <v>82</v>
      </c>
      <c r="V17" s="563" t="str">
        <f t="shared" si="1"/>
        <v>Seleccione</v>
      </c>
      <c r="W17" s="564">
        <f t="shared" si="25"/>
        <v>0</v>
      </c>
      <c r="X17" s="565">
        <f t="shared" si="26"/>
        <v>0</v>
      </c>
      <c r="Y17" s="565">
        <f>+IF($H17=$H$37,$K17*Calculadores!$B$9,IF($H17=$H$38,IF('Datos Instalaciones'!D19="Residencial",$J17*$K17*Calculadores!$B$32*365*24,$J17*$K17*Calculadores!$B$32*365*24*0.7),IF($H17=$H$39,$K17*Calculadores!$B$55,IF($H17=$H$40,$K17*Calculadores!$B$76,IF($H17=$H$41,($K17/Calculadores!$B$96)*$J17*Calculadores!$B$100,IF($H17=$H$42,$J17/Calculadores!$B$124/1000*$K17*Calculadores!$B$125*5*52,IF($H17=$H$43,$J17/Calculadores!$H$124/1000*$K17*Calculadores!$H$125*5*52,IF($H17=$H$44,$J17*$K17*Calculadores!$B$151*Calculadores!$B$153,IF($H17=$H$45,$J17*$K17*Calculadores!$B$180*Calculadores!$B$178,IF($H17=$H$46,$J17*$K17*Calculadores!$B$207*Calculadores!$B$205,IF($H17=$H$47,$J17*$K17*Calculadores!$B$235*Calculadores!$B$233,0)))))))))))</f>
        <v>0</v>
      </c>
      <c r="Z17" s="563">
        <f t="shared" si="27"/>
        <v>0</v>
      </c>
      <c r="AA17" s="566">
        <f t="shared" si="28"/>
        <v>0</v>
      </c>
      <c r="AB17" s="567">
        <f t="shared" si="29"/>
        <v>0</v>
      </c>
      <c r="AC17" s="568">
        <f t="shared" si="30"/>
        <v>0</v>
      </c>
      <c r="AD17" s="569" t="s">
        <v>17</v>
      </c>
      <c r="AE17" s="570"/>
      <c r="AF17" s="571">
        <f t="shared" si="2"/>
        <v>0</v>
      </c>
      <c r="AG17" s="572"/>
      <c r="AH17" s="571">
        <f t="shared" si="3"/>
        <v>0</v>
      </c>
      <c r="AI17" s="573">
        <f t="shared" si="4"/>
        <v>0</v>
      </c>
      <c r="AJ17" s="574">
        <f t="shared" si="31"/>
        <v>0</v>
      </c>
      <c r="AK17" s="574">
        <f t="shared" si="5"/>
        <v>0</v>
      </c>
      <c r="AL17" s="575" t="str">
        <f t="shared" si="32"/>
        <v>Seleccione</v>
      </c>
      <c r="AM17" s="647">
        <f t="shared" si="33"/>
        <v>0</v>
      </c>
      <c r="AN17" s="647">
        <f t="shared" si="34"/>
        <v>0</v>
      </c>
      <c r="AO17" s="576">
        <f>+IF($H17=$H$37,$K17*Calculadores!$B$10,IF($H17=$H$38,$J17*$K17*Calculadores!$B$35*365*24,IF($H17=$H$39,$K17*Calculadores!$B$57,IF($H17=$H$40,$K17*Calculadores!$B$77,IF($H17=$H$41,$K17*Calculadores!$B$103*$J17/Calculadores!$B$96,IF($H17=$H$42,$J17/1000*$K17*Calculadores!$B$125*5*52,IF($H17=$H$43,$J17/1000*$K17*Calculadores!$H$125*5*52,IF($H17=$H$44,$J17*$K17*Calculadores!$B$153*Calculadores!$B$152,IF($H17=$H$45,$J17*$K17*Calculadores!$B$180*Calculadores!$B$179,IF($H17=$H$46,$J17*$K17*Calculadores!$B$207*Calculadores!$B$206,IF($H17=$H$47,$J17*$K17*Calculadores!$B$235*Calculadores!$B$234,0)))))))))))</f>
        <v>0</v>
      </c>
      <c r="AP17" s="647">
        <f t="shared" si="35"/>
        <v>0</v>
      </c>
      <c r="AQ17" s="577">
        <f t="shared" si="6"/>
        <v>0</v>
      </c>
      <c r="AR17" s="578">
        <f t="shared" si="63"/>
        <v>0</v>
      </c>
      <c r="AS17" s="578">
        <f t="shared" si="36"/>
        <v>0</v>
      </c>
      <c r="AT17" s="569" t="s">
        <v>17</v>
      </c>
      <c r="AU17" s="579"/>
      <c r="AV17" s="580">
        <f t="shared" si="7"/>
        <v>0</v>
      </c>
      <c r="AW17" s="581"/>
      <c r="AX17" s="580">
        <f t="shared" si="8"/>
        <v>0</v>
      </c>
      <c r="AY17" s="582">
        <f t="shared" si="9"/>
        <v>0</v>
      </c>
      <c r="AZ17" s="583">
        <f t="shared" si="37"/>
        <v>0</v>
      </c>
      <c r="BA17" s="584">
        <f t="shared" si="10"/>
        <v>0</v>
      </c>
      <c r="BB17" s="473" t="s">
        <v>74</v>
      </c>
      <c r="BC17" s="524">
        <f>+(AA17+AI17)-(AQ17+AY17)</f>
        <v>0</v>
      </c>
      <c r="BD17" s="675">
        <f t="shared" si="11"/>
        <v>0</v>
      </c>
      <c r="BE17" s="469">
        <f t="shared" si="12"/>
        <v>0</v>
      </c>
      <c r="BF17" s="470">
        <f t="shared" si="13"/>
        <v>0</v>
      </c>
      <c r="BG17" s="469">
        <f t="shared" si="14"/>
        <v>0</v>
      </c>
      <c r="BH17" s="742" t="str">
        <f>+IF(D17="Seleccione","",VLOOKUP(D17,'Datos Instalaciones'!$E$15:$F$34,2,FALSE))</f>
        <v/>
      </c>
      <c r="BI17" s="742">
        <f t="shared" si="39"/>
        <v>1</v>
      </c>
      <c r="BJ17" s="706" t="s">
        <v>17</v>
      </c>
      <c r="BK17" s="372">
        <f t="shared" si="40"/>
        <v>1</v>
      </c>
      <c r="BL17" s="669" t="str">
        <f t="shared" si="54"/>
        <v>Seleccione</v>
      </c>
      <c r="BM17" s="670">
        <f t="shared" si="15"/>
        <v>1</v>
      </c>
      <c r="BN17" s="669" t="str">
        <f t="shared" si="41"/>
        <v>No</v>
      </c>
      <c r="BO17" s="670">
        <f t="shared" si="16"/>
        <v>1</v>
      </c>
      <c r="BP17" s="669" t="str">
        <f t="shared" si="55"/>
        <v>Seleccione</v>
      </c>
      <c r="BQ17" s="671">
        <f>+IF('Datos Instalaciones'!$D$12="Residencial",MMEE!$BQ$37,1)</f>
        <v>1</v>
      </c>
      <c r="BR17" s="708" t="s">
        <v>17</v>
      </c>
      <c r="BS17" s="372">
        <f t="shared" si="17"/>
        <v>1</v>
      </c>
      <c r="BT17" s="706" t="s">
        <v>17</v>
      </c>
      <c r="BU17" s="372">
        <f t="shared" si="18"/>
        <v>1</v>
      </c>
      <c r="BV17" s="706" t="s">
        <v>17</v>
      </c>
      <c r="BW17" s="372">
        <f t="shared" si="19"/>
        <v>1</v>
      </c>
      <c r="BX17" s="481">
        <v>1</v>
      </c>
      <c r="BY17" s="670">
        <f t="shared" si="56"/>
        <v>1</v>
      </c>
      <c r="BZ17" s="670">
        <f t="shared" si="57"/>
        <v>1</v>
      </c>
      <c r="CA17" s="670">
        <f t="shared" si="58"/>
        <v>1</v>
      </c>
      <c r="CB17" s="670">
        <f t="shared" si="59"/>
        <v>1</v>
      </c>
      <c r="CC17" s="670">
        <f t="shared" si="60"/>
        <v>1</v>
      </c>
      <c r="CD17" s="670">
        <f t="shared" si="61"/>
        <v>1</v>
      </c>
      <c r="CE17" s="670">
        <f t="shared" si="62"/>
        <v>1</v>
      </c>
      <c r="CF17" s="485" t="s">
        <v>17</v>
      </c>
      <c r="CG17" s="486">
        <f t="shared" si="20"/>
        <v>1</v>
      </c>
      <c r="CH17" s="494">
        <v>1</v>
      </c>
      <c r="CI17" s="429">
        <f t="shared" si="43"/>
        <v>1</v>
      </c>
      <c r="CJ17" s="372">
        <f t="shared" si="44"/>
        <v>1</v>
      </c>
      <c r="CK17" s="498">
        <f t="shared" si="45"/>
        <v>0</v>
      </c>
      <c r="CL17" s="376">
        <f t="shared" si="46"/>
        <v>0</v>
      </c>
      <c r="CM17" s="498" t="e">
        <f t="shared" si="47"/>
        <v>#VALUE!</v>
      </c>
      <c r="CN17" s="376" t="e">
        <f t="shared" si="48"/>
        <v>#VALUE!</v>
      </c>
      <c r="CO17" s="500" t="e">
        <f t="shared" si="49"/>
        <v>#VALUE!</v>
      </c>
      <c r="CP17" s="373" t="e">
        <f t="shared" si="50"/>
        <v>#VALUE!</v>
      </c>
      <c r="CQ17" s="505">
        <f t="shared" si="51"/>
        <v>0</v>
      </c>
      <c r="CR17" s="505">
        <f t="shared" si="21"/>
        <v>0</v>
      </c>
      <c r="CS17" s="800"/>
      <c r="CT17" s="793"/>
    </row>
    <row r="18" spans="2:98" s="9" customFormat="1" ht="45" customHeight="1" thickBot="1" x14ac:dyDescent="0.3">
      <c r="B18" s="664">
        <f t="shared" si="52"/>
        <v>0</v>
      </c>
      <c r="C18" s="664">
        <f t="shared" si="53"/>
        <v>0</v>
      </c>
      <c r="D18" s="367" t="s">
        <v>17</v>
      </c>
      <c r="E18" s="663" t="str">
        <f>IF(D18="Seleccione","",VLOOKUP(MMEE!D18,'Datos Instalaciones'!$E$15:$AD$34,24,))</f>
        <v/>
      </c>
      <c r="F18" s="366">
        <v>9</v>
      </c>
      <c r="G18" s="663" t="s">
        <v>452</v>
      </c>
      <c r="H18" s="367" t="s">
        <v>17</v>
      </c>
      <c r="I18" s="507">
        <f t="shared" si="22"/>
        <v>0</v>
      </c>
      <c r="J18" s="693"/>
      <c r="K18" s="692"/>
      <c r="L18" s="467" t="str">
        <f t="shared" si="23"/>
        <v>Seleccione</v>
      </c>
      <c r="M18" s="467" t="str">
        <f t="shared" si="24"/>
        <v>Seleccione</v>
      </c>
      <c r="N18" s="370"/>
      <c r="O18" s="662" t="str">
        <f t="shared" si="0"/>
        <v/>
      </c>
      <c r="P18" s="703" t="s">
        <v>17</v>
      </c>
      <c r="Q18" s="519" t="s">
        <v>74</v>
      </c>
      <c r="R18" s="438" t="s">
        <v>17</v>
      </c>
      <c r="S18" s="522"/>
      <c r="T18" s="374"/>
      <c r="U18" s="474" t="s">
        <v>82</v>
      </c>
      <c r="V18" s="563" t="str">
        <f t="shared" si="1"/>
        <v>Seleccione</v>
      </c>
      <c r="W18" s="564">
        <f t="shared" si="25"/>
        <v>0</v>
      </c>
      <c r="X18" s="565">
        <f t="shared" si="26"/>
        <v>0</v>
      </c>
      <c r="Y18" s="565">
        <f>+IF($H18=$H$37,$K18*Calculadores!$B$9,IF($H18=$H$38,IF('Datos Instalaciones'!D20="Residencial",$J18*$K18*Calculadores!$B$32*365*24,$J18*$K18*Calculadores!$B$32*365*24*0.7),IF($H18=$H$39,$K18*Calculadores!$B$55,IF($H18=$H$40,$K18*Calculadores!$B$76,IF($H18=$H$41,($K18/Calculadores!$B$96)*$J18*Calculadores!$B$100,IF($H18=$H$42,$J18/Calculadores!$B$124/1000*$K18*Calculadores!$B$125*5*52,IF($H18=$H$43,$J18/Calculadores!$H$124/1000*$K18*Calculadores!$H$125*5*52,IF($H18=$H$44,$J18*$K18*Calculadores!$B$151*Calculadores!$B$153,IF($H18=$H$45,$J18*$K18*Calculadores!$B$180*Calculadores!$B$178,IF($H18=$H$46,$J18*$K18*Calculadores!$B$207*Calculadores!$B$205,IF($H18=$H$47,$J18*$K18*Calculadores!$B$235*Calculadores!$B$233,0)))))))))))</f>
        <v>0</v>
      </c>
      <c r="Z18" s="563">
        <f t="shared" si="27"/>
        <v>0</v>
      </c>
      <c r="AA18" s="566">
        <f t="shared" si="28"/>
        <v>0</v>
      </c>
      <c r="AB18" s="567">
        <f t="shared" si="29"/>
        <v>0</v>
      </c>
      <c r="AC18" s="568">
        <f t="shared" si="30"/>
        <v>0</v>
      </c>
      <c r="AD18" s="569" t="s">
        <v>17</v>
      </c>
      <c r="AE18" s="570"/>
      <c r="AF18" s="571">
        <f t="shared" si="2"/>
        <v>0</v>
      </c>
      <c r="AG18" s="572"/>
      <c r="AH18" s="571">
        <f t="shared" si="3"/>
        <v>0</v>
      </c>
      <c r="AI18" s="573">
        <f t="shared" si="4"/>
        <v>0</v>
      </c>
      <c r="AJ18" s="574">
        <f t="shared" si="31"/>
        <v>0</v>
      </c>
      <c r="AK18" s="574">
        <f t="shared" si="5"/>
        <v>0</v>
      </c>
      <c r="AL18" s="575" t="str">
        <f t="shared" si="32"/>
        <v>Seleccione</v>
      </c>
      <c r="AM18" s="647">
        <f t="shared" si="33"/>
        <v>0</v>
      </c>
      <c r="AN18" s="647">
        <f t="shared" si="34"/>
        <v>0</v>
      </c>
      <c r="AO18" s="576">
        <f>+IF($H18=$H$37,$K18*Calculadores!$B$10,IF($H18=$H$38,$J18*$K18*Calculadores!$B$35*365*24,IF($H18=$H$39,$K18*Calculadores!$B$57,IF($H18=$H$40,$K18*Calculadores!$B$77,IF($H18=$H$41,$K18*Calculadores!$B$103*$J18/Calculadores!$B$96,IF($H18=$H$42,$J18/1000*$K18*Calculadores!$B$125*5*52,IF($H18=$H$43,$J18/1000*$K18*Calculadores!$H$125*5*52,IF($H18=$H$44,$J18*$K18*Calculadores!$B$153*Calculadores!$B$152,IF($H18=$H$45,$J18*$K18*Calculadores!$B$180*Calculadores!$B$179,IF($H18=$H$46,$J18*$K18*Calculadores!$B$207*Calculadores!$B$206,IF($H18=$H$47,$J18*$K18*Calculadores!$B$235*Calculadores!$B$234,0)))))))))))</f>
        <v>0</v>
      </c>
      <c r="AP18" s="647">
        <f t="shared" si="35"/>
        <v>0</v>
      </c>
      <c r="AQ18" s="577">
        <f t="shared" si="6"/>
        <v>0</v>
      </c>
      <c r="AR18" s="578">
        <f t="shared" si="63"/>
        <v>0</v>
      </c>
      <c r="AS18" s="578">
        <f t="shared" si="36"/>
        <v>0</v>
      </c>
      <c r="AT18" s="569" t="s">
        <v>17</v>
      </c>
      <c r="AU18" s="579"/>
      <c r="AV18" s="580">
        <f t="shared" si="7"/>
        <v>0</v>
      </c>
      <c r="AW18" s="581"/>
      <c r="AX18" s="580">
        <f t="shared" si="8"/>
        <v>0</v>
      </c>
      <c r="AY18" s="582">
        <f t="shared" si="9"/>
        <v>0</v>
      </c>
      <c r="AZ18" s="583">
        <f t="shared" si="37"/>
        <v>0</v>
      </c>
      <c r="BA18" s="584">
        <f t="shared" si="10"/>
        <v>0</v>
      </c>
      <c r="BB18" s="473" t="s">
        <v>74</v>
      </c>
      <c r="BC18" s="524">
        <f t="shared" si="38"/>
        <v>0</v>
      </c>
      <c r="BD18" s="675">
        <f t="shared" si="11"/>
        <v>0</v>
      </c>
      <c r="BE18" s="469">
        <f t="shared" si="12"/>
        <v>0</v>
      </c>
      <c r="BF18" s="470">
        <f t="shared" si="13"/>
        <v>0</v>
      </c>
      <c r="BG18" s="469">
        <f t="shared" si="14"/>
        <v>0</v>
      </c>
      <c r="BH18" s="742" t="str">
        <f>+IF(D18="Seleccione","",VLOOKUP(D18,'Datos Instalaciones'!$E$15:$F$34,2,FALSE))</f>
        <v/>
      </c>
      <c r="BI18" s="742">
        <f t="shared" si="39"/>
        <v>1</v>
      </c>
      <c r="BJ18" s="706" t="s">
        <v>17</v>
      </c>
      <c r="BK18" s="372">
        <f t="shared" si="40"/>
        <v>1</v>
      </c>
      <c r="BL18" s="669" t="str">
        <f t="shared" si="54"/>
        <v>Seleccione</v>
      </c>
      <c r="BM18" s="670">
        <f t="shared" si="15"/>
        <v>1</v>
      </c>
      <c r="BN18" s="669" t="str">
        <f t="shared" si="41"/>
        <v>No</v>
      </c>
      <c r="BO18" s="670">
        <f t="shared" si="16"/>
        <v>1</v>
      </c>
      <c r="BP18" s="669" t="str">
        <f t="shared" si="55"/>
        <v>Seleccione</v>
      </c>
      <c r="BQ18" s="671">
        <f>+IF('Datos Instalaciones'!$D$12="Residencial",MMEE!$BQ$37,1)</f>
        <v>1</v>
      </c>
      <c r="BR18" s="708" t="s">
        <v>17</v>
      </c>
      <c r="BS18" s="372">
        <f t="shared" si="17"/>
        <v>1</v>
      </c>
      <c r="BT18" s="706" t="s">
        <v>17</v>
      </c>
      <c r="BU18" s="372">
        <f t="shared" si="18"/>
        <v>1</v>
      </c>
      <c r="BV18" s="706" t="s">
        <v>17</v>
      </c>
      <c r="BW18" s="372">
        <f t="shared" si="19"/>
        <v>1</v>
      </c>
      <c r="BX18" s="481">
        <v>1</v>
      </c>
      <c r="BY18" s="670">
        <f t="shared" si="56"/>
        <v>1</v>
      </c>
      <c r="BZ18" s="670">
        <f t="shared" si="57"/>
        <v>1</v>
      </c>
      <c r="CA18" s="670">
        <f t="shared" si="58"/>
        <v>1</v>
      </c>
      <c r="CB18" s="670">
        <f t="shared" si="59"/>
        <v>1</v>
      </c>
      <c r="CC18" s="670">
        <f t="shared" si="60"/>
        <v>1</v>
      </c>
      <c r="CD18" s="670">
        <f t="shared" si="61"/>
        <v>1</v>
      </c>
      <c r="CE18" s="670">
        <f t="shared" si="62"/>
        <v>1</v>
      </c>
      <c r="CF18" s="485" t="s">
        <v>17</v>
      </c>
      <c r="CG18" s="486">
        <f t="shared" si="20"/>
        <v>1</v>
      </c>
      <c r="CH18" s="494">
        <v>1</v>
      </c>
      <c r="CI18" s="429">
        <f t="shared" si="43"/>
        <v>1</v>
      </c>
      <c r="CJ18" s="372">
        <f t="shared" si="44"/>
        <v>1</v>
      </c>
      <c r="CK18" s="498">
        <f t="shared" si="45"/>
        <v>0</v>
      </c>
      <c r="CL18" s="376">
        <f t="shared" si="46"/>
        <v>0</v>
      </c>
      <c r="CM18" s="498" t="e">
        <f t="shared" si="47"/>
        <v>#VALUE!</v>
      </c>
      <c r="CN18" s="376" t="e">
        <f t="shared" si="48"/>
        <v>#VALUE!</v>
      </c>
      <c r="CO18" s="500" t="e">
        <f t="shared" si="49"/>
        <v>#VALUE!</v>
      </c>
      <c r="CP18" s="373" t="e">
        <f t="shared" si="50"/>
        <v>#VALUE!</v>
      </c>
      <c r="CQ18" s="505">
        <f t="shared" si="51"/>
        <v>0</v>
      </c>
      <c r="CR18" s="505">
        <f t="shared" si="21"/>
        <v>0</v>
      </c>
      <c r="CS18" s="800"/>
      <c r="CT18" s="793"/>
    </row>
    <row r="19" spans="2:98" s="9" customFormat="1" ht="45" customHeight="1" thickBot="1" x14ac:dyDescent="0.3">
      <c r="B19" s="664">
        <f t="shared" si="52"/>
        <v>0</v>
      </c>
      <c r="C19" s="664">
        <f t="shared" si="53"/>
        <v>0</v>
      </c>
      <c r="D19" s="367" t="s">
        <v>17</v>
      </c>
      <c r="E19" s="663" t="str">
        <f>IF(D19="Seleccione","",VLOOKUP(MMEE!D19,'Datos Instalaciones'!$E$15:$AD$34,24,))</f>
        <v/>
      </c>
      <c r="F19" s="366">
        <v>10</v>
      </c>
      <c r="G19" s="663" t="s">
        <v>452</v>
      </c>
      <c r="H19" s="367" t="s">
        <v>17</v>
      </c>
      <c r="I19" s="507">
        <f t="shared" si="22"/>
        <v>0</v>
      </c>
      <c r="J19" s="375"/>
      <c r="K19" s="692"/>
      <c r="L19" s="467" t="str">
        <f t="shared" si="23"/>
        <v>Seleccione</v>
      </c>
      <c r="M19" s="467" t="str">
        <f t="shared" si="24"/>
        <v>Seleccione</v>
      </c>
      <c r="N19" s="370"/>
      <c r="O19" s="662" t="str">
        <f>+IF(H19="Seleccione","",VLOOKUP($H19,$H$37:$O$47,8,FALSE))</f>
        <v/>
      </c>
      <c r="P19" s="703" t="s">
        <v>17</v>
      </c>
      <c r="Q19" s="519" t="s">
        <v>74</v>
      </c>
      <c r="R19" s="438" t="s">
        <v>17</v>
      </c>
      <c r="S19" s="522"/>
      <c r="T19" s="374"/>
      <c r="U19" s="474" t="s">
        <v>82</v>
      </c>
      <c r="V19" s="563" t="str">
        <f t="shared" si="1"/>
        <v>Seleccione</v>
      </c>
      <c r="W19" s="564">
        <f t="shared" si="25"/>
        <v>0</v>
      </c>
      <c r="X19" s="565">
        <f t="shared" si="26"/>
        <v>0</v>
      </c>
      <c r="Y19" s="565">
        <f>+IF($H19=$H$37,$K19*Calculadores!$B$9,IF($H19=$H$38,IF('Datos Instalaciones'!D21="Residencial",$J19*$K19*Calculadores!$B$32*365*24,$J19*$K19*Calculadores!$B$32*365*24*0.7),IF($H19=$H$39,$K19*Calculadores!$B$55,IF($H19=$H$40,$K19*Calculadores!$B$76,IF($H19=$H$41,($K19/Calculadores!$B$96)*$J19*Calculadores!$B$100,IF($H19=$H$42,$J19/Calculadores!$B$124/1000*$K19*Calculadores!$B$125*5*52,IF($H19=$H$43,$J19/Calculadores!$H$124/1000*$K19*Calculadores!$H$125*5*52,IF($H19=$H$44,$J19*$K19*Calculadores!$B$151*Calculadores!$B$153,IF($H19=$H$45,$J19*$K19*Calculadores!$B$180*Calculadores!$B$178,IF($H19=$H$46,$J19*$K19*Calculadores!$B$207*Calculadores!$B$205,IF($H19=$H$47,$J19*$K19*Calculadores!$B$235*Calculadores!$B$233,0)))))))))))</f>
        <v>0</v>
      </c>
      <c r="Z19" s="563">
        <f t="shared" si="27"/>
        <v>0</v>
      </c>
      <c r="AA19" s="566">
        <f t="shared" si="28"/>
        <v>0</v>
      </c>
      <c r="AB19" s="567">
        <f t="shared" si="29"/>
        <v>0</v>
      </c>
      <c r="AC19" s="568">
        <f t="shared" si="30"/>
        <v>0</v>
      </c>
      <c r="AD19" s="569" t="s">
        <v>17</v>
      </c>
      <c r="AE19" s="570"/>
      <c r="AF19" s="571">
        <f t="shared" si="2"/>
        <v>0</v>
      </c>
      <c r="AG19" s="572"/>
      <c r="AH19" s="571">
        <f t="shared" si="3"/>
        <v>0</v>
      </c>
      <c r="AI19" s="573">
        <f t="shared" si="4"/>
        <v>0</v>
      </c>
      <c r="AJ19" s="574">
        <f t="shared" si="31"/>
        <v>0</v>
      </c>
      <c r="AK19" s="574">
        <f t="shared" si="5"/>
        <v>0</v>
      </c>
      <c r="AL19" s="575" t="str">
        <f t="shared" si="32"/>
        <v>Seleccione</v>
      </c>
      <c r="AM19" s="647">
        <f t="shared" si="33"/>
        <v>0</v>
      </c>
      <c r="AN19" s="647">
        <f t="shared" si="34"/>
        <v>0</v>
      </c>
      <c r="AO19" s="576">
        <f>+IF($H19=$H$37,$K19*Calculadores!$B$10,IF($H19=$H$38,$J19*$K19*Calculadores!$B$35*365*24,IF($H19=$H$39,$K19*Calculadores!$B$57,IF($H19=$H$40,$K19*Calculadores!$B$77,IF($H19=$H$41,$K19*Calculadores!$B$103*$J19/Calculadores!$B$96,IF($H19=$H$42,$J19/1000*$K19*Calculadores!$B$125*5*52,IF($H19=$H$43,$J19/1000*$K19*Calculadores!$H$125*5*52,IF($H19=$H$44,$J19*$K19*Calculadores!$B$153*Calculadores!$B$152,IF($H19=$H$45,$J19*$K19*Calculadores!$B$180*Calculadores!$B$179,IF($H19=$H$46,$J19*$K19*Calculadores!$B$207*Calculadores!$B$206,IF($H19=$H$47,$J19*$K19*Calculadores!$B$235*Calculadores!$B$234,0)))))))))))</f>
        <v>0</v>
      </c>
      <c r="AP19" s="647">
        <f t="shared" si="35"/>
        <v>0</v>
      </c>
      <c r="AQ19" s="577">
        <f t="shared" si="6"/>
        <v>0</v>
      </c>
      <c r="AR19" s="578">
        <f t="shared" si="63"/>
        <v>0</v>
      </c>
      <c r="AS19" s="578">
        <f t="shared" si="36"/>
        <v>0</v>
      </c>
      <c r="AT19" s="569" t="s">
        <v>17</v>
      </c>
      <c r="AU19" s="579"/>
      <c r="AV19" s="580">
        <f t="shared" si="7"/>
        <v>0</v>
      </c>
      <c r="AW19" s="581"/>
      <c r="AX19" s="580">
        <f t="shared" si="8"/>
        <v>0</v>
      </c>
      <c r="AY19" s="582">
        <f t="shared" si="9"/>
        <v>0</v>
      </c>
      <c r="AZ19" s="583">
        <f t="shared" si="37"/>
        <v>0</v>
      </c>
      <c r="BA19" s="584">
        <f t="shared" si="10"/>
        <v>0</v>
      </c>
      <c r="BB19" s="473" t="s">
        <v>74</v>
      </c>
      <c r="BC19" s="524">
        <f t="shared" si="38"/>
        <v>0</v>
      </c>
      <c r="BD19" s="675">
        <f t="shared" si="11"/>
        <v>0</v>
      </c>
      <c r="BE19" s="469">
        <f t="shared" si="12"/>
        <v>0</v>
      </c>
      <c r="BF19" s="470">
        <f t="shared" si="13"/>
        <v>0</v>
      </c>
      <c r="BG19" s="469">
        <f t="shared" si="14"/>
        <v>0</v>
      </c>
      <c r="BH19" s="742" t="str">
        <f>+IF(D19="Seleccione","",VLOOKUP(D19,'Datos Instalaciones'!$E$15:$F$34,2,FALSE))</f>
        <v/>
      </c>
      <c r="BI19" s="742">
        <f t="shared" si="39"/>
        <v>1</v>
      </c>
      <c r="BJ19" s="706" t="s">
        <v>17</v>
      </c>
      <c r="BK19" s="372">
        <f t="shared" si="40"/>
        <v>1</v>
      </c>
      <c r="BL19" s="669" t="str">
        <f t="shared" si="54"/>
        <v>Seleccione</v>
      </c>
      <c r="BM19" s="670">
        <f t="shared" si="15"/>
        <v>1</v>
      </c>
      <c r="BN19" s="669" t="str">
        <f t="shared" si="41"/>
        <v>No</v>
      </c>
      <c r="BO19" s="672">
        <f t="shared" si="16"/>
        <v>1</v>
      </c>
      <c r="BP19" s="669" t="str">
        <f t="shared" si="55"/>
        <v>Seleccione</v>
      </c>
      <c r="BQ19" s="671">
        <f>+IF('Datos Instalaciones'!$D$12="Residencial",MMEE!$BQ$37,1)</f>
        <v>1</v>
      </c>
      <c r="BR19" s="708" t="s">
        <v>17</v>
      </c>
      <c r="BS19" s="372">
        <f t="shared" si="17"/>
        <v>1</v>
      </c>
      <c r="BT19" s="706" t="s">
        <v>17</v>
      </c>
      <c r="BU19" s="372">
        <f t="shared" si="18"/>
        <v>1</v>
      </c>
      <c r="BV19" s="706" t="s">
        <v>17</v>
      </c>
      <c r="BW19" s="372">
        <f t="shared" si="19"/>
        <v>1</v>
      </c>
      <c r="BX19" s="481">
        <v>1</v>
      </c>
      <c r="BY19" s="670">
        <f t="shared" si="56"/>
        <v>1</v>
      </c>
      <c r="BZ19" s="670">
        <f t="shared" si="57"/>
        <v>1</v>
      </c>
      <c r="CA19" s="670">
        <f t="shared" si="58"/>
        <v>1</v>
      </c>
      <c r="CB19" s="670">
        <f t="shared" si="59"/>
        <v>1</v>
      </c>
      <c r="CC19" s="670">
        <f t="shared" si="60"/>
        <v>1</v>
      </c>
      <c r="CD19" s="670">
        <f t="shared" si="61"/>
        <v>1</v>
      </c>
      <c r="CE19" s="670">
        <f t="shared" si="62"/>
        <v>1</v>
      </c>
      <c r="CF19" s="485" t="s">
        <v>17</v>
      </c>
      <c r="CG19" s="486">
        <f t="shared" si="20"/>
        <v>1</v>
      </c>
      <c r="CH19" s="494">
        <v>1</v>
      </c>
      <c r="CI19" s="429">
        <f t="shared" si="43"/>
        <v>1</v>
      </c>
      <c r="CJ19" s="372">
        <f t="shared" si="44"/>
        <v>1</v>
      </c>
      <c r="CK19" s="498">
        <f t="shared" si="45"/>
        <v>0</v>
      </c>
      <c r="CL19" s="376">
        <f t="shared" si="46"/>
        <v>0</v>
      </c>
      <c r="CM19" s="498" t="e">
        <f t="shared" si="47"/>
        <v>#VALUE!</v>
      </c>
      <c r="CN19" s="376" t="e">
        <f t="shared" si="48"/>
        <v>#VALUE!</v>
      </c>
      <c r="CO19" s="500" t="e">
        <f t="shared" si="49"/>
        <v>#VALUE!</v>
      </c>
      <c r="CP19" s="373" t="e">
        <f t="shared" si="50"/>
        <v>#VALUE!</v>
      </c>
      <c r="CQ19" s="505">
        <f t="shared" si="51"/>
        <v>0</v>
      </c>
      <c r="CR19" s="505">
        <f t="shared" si="21"/>
        <v>0</v>
      </c>
      <c r="CS19" s="800"/>
      <c r="CT19" s="793"/>
    </row>
    <row r="20" spans="2:98" s="9" customFormat="1" ht="45" customHeight="1" thickBot="1" x14ac:dyDescent="0.3">
      <c r="B20" s="664">
        <f t="shared" si="52"/>
        <v>0</v>
      </c>
      <c r="C20" s="664">
        <f t="shared" si="53"/>
        <v>0</v>
      </c>
      <c r="D20" s="367" t="s">
        <v>17</v>
      </c>
      <c r="E20" s="663" t="str">
        <f>IF(D20="Seleccione","",VLOOKUP(MMEE!D20,'Datos Instalaciones'!$E$15:$AD$34,24,))</f>
        <v/>
      </c>
      <c r="F20" s="366">
        <v>11</v>
      </c>
      <c r="G20" s="663" t="s">
        <v>452</v>
      </c>
      <c r="H20" s="367" t="s">
        <v>17</v>
      </c>
      <c r="I20" s="507">
        <f t="shared" si="22"/>
        <v>0</v>
      </c>
      <c r="J20" s="693"/>
      <c r="K20" s="692"/>
      <c r="L20" s="467" t="str">
        <f t="shared" si="23"/>
        <v>Seleccione</v>
      </c>
      <c r="M20" s="467" t="str">
        <f t="shared" si="24"/>
        <v>Seleccione</v>
      </c>
      <c r="N20" s="370"/>
      <c r="O20" s="662" t="str">
        <f t="shared" ref="O20:O29" si="64">+IF(H20="Seleccione","",VLOOKUP($H20,$H$37:$O$47,8,FALSE))</f>
        <v/>
      </c>
      <c r="P20" s="703" t="s">
        <v>17</v>
      </c>
      <c r="Q20" s="519" t="s">
        <v>74</v>
      </c>
      <c r="R20" s="438" t="s">
        <v>17</v>
      </c>
      <c r="S20" s="522"/>
      <c r="T20" s="374"/>
      <c r="U20" s="474" t="s">
        <v>82</v>
      </c>
      <c r="V20" s="563" t="str">
        <f t="shared" si="1"/>
        <v>Seleccione</v>
      </c>
      <c r="W20" s="564">
        <f t="shared" si="25"/>
        <v>0</v>
      </c>
      <c r="X20" s="565">
        <f t="shared" si="26"/>
        <v>0</v>
      </c>
      <c r="Y20" s="565">
        <f>+IF($H20=$H$37,$K20*Calculadores!$B$9,IF($H20=$H$38,IF('Datos Instalaciones'!D22="Residencial",$J20*$K20*Calculadores!$B$32*365*24,$J20*$K20*Calculadores!$B$32*365*24*0.7),IF($H20=$H$39,$K20*Calculadores!$B$55,IF($H20=$H$40,$K20*Calculadores!$B$76,IF($H20=$H$41,($K20/Calculadores!$B$96)*$J20*Calculadores!$B$100,IF($H20=$H$42,$J20/Calculadores!$B$124/1000*$K20*Calculadores!$B$125*5*52,IF($H20=$H$43,$J20/Calculadores!$H$124/1000*$K20*Calculadores!$H$125*5*52,IF($H20=$H$44,$J20*$K20*Calculadores!$B$151*Calculadores!$B$153,IF($H20=$H$45,$J20*$K20*Calculadores!$B$180*Calculadores!$B$178,IF($H20=$H$46,$J20*$K20*Calculadores!$B$207*Calculadores!$B$205,IF($H20=$H$47,$J20*$K20*Calculadores!$B$235*Calculadores!$B$233,0)))))))))))</f>
        <v>0</v>
      </c>
      <c r="Z20" s="563">
        <f t="shared" si="27"/>
        <v>0</v>
      </c>
      <c r="AA20" s="566">
        <f t="shared" si="28"/>
        <v>0</v>
      </c>
      <c r="AB20" s="567">
        <f t="shared" si="29"/>
        <v>0</v>
      </c>
      <c r="AC20" s="568">
        <f t="shared" si="30"/>
        <v>0</v>
      </c>
      <c r="AD20" s="569" t="s">
        <v>17</v>
      </c>
      <c r="AE20" s="570"/>
      <c r="AF20" s="571">
        <f t="shared" si="2"/>
        <v>0</v>
      </c>
      <c r="AG20" s="572"/>
      <c r="AH20" s="571">
        <f t="shared" si="3"/>
        <v>0</v>
      </c>
      <c r="AI20" s="573">
        <f t="shared" si="4"/>
        <v>0</v>
      </c>
      <c r="AJ20" s="574">
        <f t="shared" si="31"/>
        <v>0</v>
      </c>
      <c r="AK20" s="574">
        <f t="shared" si="5"/>
        <v>0</v>
      </c>
      <c r="AL20" s="575" t="str">
        <f t="shared" si="32"/>
        <v>Seleccione</v>
      </c>
      <c r="AM20" s="647">
        <f t="shared" si="33"/>
        <v>0</v>
      </c>
      <c r="AN20" s="647">
        <f t="shared" si="34"/>
        <v>0</v>
      </c>
      <c r="AO20" s="576">
        <f>+IF($H20=$H$37,$K20*Calculadores!$B$10,IF($H20=$H$38,$J20*$K20*Calculadores!$B$35*365*24,IF($H20=$H$39,$K20*Calculadores!$B$57,IF($H20=$H$40,$K20*Calculadores!$B$77,IF($H20=$H$41,$K20*Calculadores!$B$103*$J20/Calculadores!$B$96,IF($H20=$H$42,$J20/1000*$K20*Calculadores!$B$125*5*52,IF($H20=$H$43,$J20/1000*$K20*Calculadores!$H$125*5*52,IF($H20=$H$44,$J20*$K20*Calculadores!$B$153*Calculadores!$B$152,IF($H20=$H$45,$J20*$K20*Calculadores!$B$180*Calculadores!$B$179,IF($H20=$H$46,$J20*$K20*Calculadores!$B$207*Calculadores!$B$206,IF($H20=$H$47,$J20*$K20*Calculadores!$B$235*Calculadores!$B$234,0)))))))))))</f>
        <v>0</v>
      </c>
      <c r="AP20" s="647">
        <f t="shared" si="35"/>
        <v>0</v>
      </c>
      <c r="AQ20" s="577">
        <f t="shared" si="6"/>
        <v>0</v>
      </c>
      <c r="AR20" s="578">
        <f t="shared" si="63"/>
        <v>0</v>
      </c>
      <c r="AS20" s="578">
        <f t="shared" si="36"/>
        <v>0</v>
      </c>
      <c r="AT20" s="569" t="s">
        <v>17</v>
      </c>
      <c r="AU20" s="579"/>
      <c r="AV20" s="580">
        <f t="shared" si="7"/>
        <v>0</v>
      </c>
      <c r="AW20" s="581"/>
      <c r="AX20" s="580">
        <f t="shared" si="8"/>
        <v>0</v>
      </c>
      <c r="AY20" s="582">
        <f t="shared" si="9"/>
        <v>0</v>
      </c>
      <c r="AZ20" s="583">
        <f t="shared" si="37"/>
        <v>0</v>
      </c>
      <c r="BA20" s="584">
        <f t="shared" si="10"/>
        <v>0</v>
      </c>
      <c r="BB20" s="473" t="s">
        <v>74</v>
      </c>
      <c r="BC20" s="524">
        <f t="shared" si="38"/>
        <v>0</v>
      </c>
      <c r="BD20" s="675">
        <f t="shared" si="11"/>
        <v>0</v>
      </c>
      <c r="BE20" s="469">
        <f t="shared" si="12"/>
        <v>0</v>
      </c>
      <c r="BF20" s="470">
        <f t="shared" si="13"/>
        <v>0</v>
      </c>
      <c r="BG20" s="469">
        <f t="shared" si="14"/>
        <v>0</v>
      </c>
      <c r="BH20" s="742" t="str">
        <f>+IF(D20="Seleccione","",VLOOKUP(D20,'Datos Instalaciones'!$E$15:$F$34,2,FALSE))</f>
        <v/>
      </c>
      <c r="BI20" s="742">
        <f t="shared" si="39"/>
        <v>1</v>
      </c>
      <c r="BJ20" s="706" t="s">
        <v>17</v>
      </c>
      <c r="BK20" s="372">
        <f t="shared" si="40"/>
        <v>1</v>
      </c>
      <c r="BL20" s="669" t="str">
        <f t="shared" si="54"/>
        <v>Seleccione</v>
      </c>
      <c r="BM20" s="670">
        <f t="shared" si="15"/>
        <v>1</v>
      </c>
      <c r="BN20" s="669" t="str">
        <f t="shared" si="41"/>
        <v>No</v>
      </c>
      <c r="BO20" s="672">
        <f t="shared" si="16"/>
        <v>1</v>
      </c>
      <c r="BP20" s="669" t="str">
        <f t="shared" si="55"/>
        <v>Seleccione</v>
      </c>
      <c r="BQ20" s="671">
        <f>+IF('Datos Instalaciones'!$D$12="Residencial",MMEE!$BQ$37,1)</f>
        <v>1</v>
      </c>
      <c r="BR20" s="708" t="s">
        <v>17</v>
      </c>
      <c r="BS20" s="372">
        <f t="shared" si="17"/>
        <v>1</v>
      </c>
      <c r="BT20" s="706" t="s">
        <v>17</v>
      </c>
      <c r="BU20" s="372">
        <f t="shared" si="18"/>
        <v>1</v>
      </c>
      <c r="BV20" s="706" t="s">
        <v>17</v>
      </c>
      <c r="BW20" s="372">
        <f t="shared" si="19"/>
        <v>1</v>
      </c>
      <c r="BX20" s="481">
        <v>1</v>
      </c>
      <c r="BY20" s="670">
        <f t="shared" si="56"/>
        <v>1</v>
      </c>
      <c r="BZ20" s="670">
        <f t="shared" si="57"/>
        <v>1</v>
      </c>
      <c r="CA20" s="670">
        <f t="shared" si="58"/>
        <v>1</v>
      </c>
      <c r="CB20" s="670">
        <f t="shared" si="59"/>
        <v>1</v>
      </c>
      <c r="CC20" s="670">
        <f t="shared" si="60"/>
        <v>1</v>
      </c>
      <c r="CD20" s="670">
        <f t="shared" si="61"/>
        <v>1</v>
      </c>
      <c r="CE20" s="670">
        <f t="shared" si="62"/>
        <v>1</v>
      </c>
      <c r="CF20" s="485" t="s">
        <v>17</v>
      </c>
      <c r="CG20" s="486">
        <f t="shared" si="20"/>
        <v>1</v>
      </c>
      <c r="CH20" s="494">
        <v>1</v>
      </c>
      <c r="CI20" s="429">
        <f t="shared" si="43"/>
        <v>1</v>
      </c>
      <c r="CJ20" s="372">
        <f t="shared" si="44"/>
        <v>1</v>
      </c>
      <c r="CK20" s="498">
        <f t="shared" si="45"/>
        <v>0</v>
      </c>
      <c r="CL20" s="376">
        <f t="shared" si="46"/>
        <v>0</v>
      </c>
      <c r="CM20" s="498" t="e">
        <f t="shared" si="47"/>
        <v>#VALUE!</v>
      </c>
      <c r="CN20" s="376" t="e">
        <f t="shared" si="48"/>
        <v>#VALUE!</v>
      </c>
      <c r="CO20" s="500" t="e">
        <f t="shared" si="49"/>
        <v>#VALUE!</v>
      </c>
      <c r="CP20" s="373" t="e">
        <f t="shared" si="50"/>
        <v>#VALUE!</v>
      </c>
      <c r="CQ20" s="505">
        <f t="shared" si="51"/>
        <v>0</v>
      </c>
      <c r="CR20" s="505">
        <f t="shared" si="21"/>
        <v>0</v>
      </c>
      <c r="CS20" s="800"/>
      <c r="CT20" s="793"/>
    </row>
    <row r="21" spans="2:98" s="9" customFormat="1" ht="45" customHeight="1" thickBot="1" x14ac:dyDescent="0.3">
      <c r="B21" s="664">
        <f t="shared" si="52"/>
        <v>0</v>
      </c>
      <c r="C21" s="664">
        <f t="shared" si="53"/>
        <v>0</v>
      </c>
      <c r="D21" s="367" t="s">
        <v>17</v>
      </c>
      <c r="E21" s="663" t="str">
        <f>IF(D21="Seleccione","",VLOOKUP(MMEE!D21,'Datos Instalaciones'!$E$15:$AD$34,24,))</f>
        <v/>
      </c>
      <c r="F21" s="366">
        <v>12</v>
      </c>
      <c r="G21" s="663" t="s">
        <v>452</v>
      </c>
      <c r="H21" s="367" t="s">
        <v>17</v>
      </c>
      <c r="I21" s="507">
        <f t="shared" si="22"/>
        <v>0</v>
      </c>
      <c r="J21" s="375"/>
      <c r="K21" s="692"/>
      <c r="L21" s="467" t="str">
        <f t="shared" si="23"/>
        <v>Seleccione</v>
      </c>
      <c r="M21" s="467" t="str">
        <f t="shared" si="24"/>
        <v>Seleccione</v>
      </c>
      <c r="N21" s="370"/>
      <c r="O21" s="662" t="str">
        <f t="shared" si="64"/>
        <v/>
      </c>
      <c r="P21" s="703" t="s">
        <v>17</v>
      </c>
      <c r="Q21" s="519" t="s">
        <v>74</v>
      </c>
      <c r="R21" s="438" t="s">
        <v>17</v>
      </c>
      <c r="S21" s="522"/>
      <c r="T21" s="374"/>
      <c r="U21" s="474" t="s">
        <v>82</v>
      </c>
      <c r="V21" s="563" t="str">
        <f t="shared" si="1"/>
        <v>Seleccione</v>
      </c>
      <c r="W21" s="564">
        <f t="shared" si="25"/>
        <v>0</v>
      </c>
      <c r="X21" s="565">
        <f t="shared" si="26"/>
        <v>0</v>
      </c>
      <c r="Y21" s="565">
        <f>+IF($H21=$H$37,$K21*Calculadores!$B$9,IF($H21=$H$38,IF('Datos Instalaciones'!D23="Residencial",$J21*$K21*Calculadores!$B$32*365*24,$J21*$K21*Calculadores!$B$32*365*24*0.7),IF($H21=$H$39,$K21*Calculadores!$B$55,IF($H21=$H$40,$K21*Calculadores!$B$76,IF($H21=$H$41,($K21/Calculadores!$B$96)*$J21*Calculadores!$B$100,IF($H21=$H$42,$J21/Calculadores!$B$124/1000*$K21*Calculadores!$B$125*5*52,IF($H21=$H$43,$J21/Calculadores!$H$124/1000*$K21*Calculadores!$H$125*5*52,IF($H21=$H$44,$J21*$K21*Calculadores!$B$151*Calculadores!$B$153,IF($H21=$H$45,$J21*$K21*Calculadores!$B$180*Calculadores!$B$178,IF($H21=$H$46,$J21*$K21*Calculadores!$B$207*Calculadores!$B$205,IF($H21=$H$47,$J21*$K21*Calculadores!$B$235*Calculadores!$B$233,0)))))))))))</f>
        <v>0</v>
      </c>
      <c r="Z21" s="563">
        <f t="shared" si="27"/>
        <v>0</v>
      </c>
      <c r="AA21" s="566">
        <f t="shared" si="28"/>
        <v>0</v>
      </c>
      <c r="AB21" s="567">
        <f t="shared" si="29"/>
        <v>0</v>
      </c>
      <c r="AC21" s="568">
        <f t="shared" si="30"/>
        <v>0</v>
      </c>
      <c r="AD21" s="569" t="s">
        <v>17</v>
      </c>
      <c r="AE21" s="570"/>
      <c r="AF21" s="571">
        <f t="shared" si="2"/>
        <v>0</v>
      </c>
      <c r="AG21" s="572"/>
      <c r="AH21" s="571">
        <f t="shared" si="3"/>
        <v>0</v>
      </c>
      <c r="AI21" s="573">
        <f t="shared" si="4"/>
        <v>0</v>
      </c>
      <c r="AJ21" s="574">
        <f t="shared" si="31"/>
        <v>0</v>
      </c>
      <c r="AK21" s="574">
        <f t="shared" si="5"/>
        <v>0</v>
      </c>
      <c r="AL21" s="575" t="str">
        <f t="shared" si="32"/>
        <v>Seleccione</v>
      </c>
      <c r="AM21" s="647">
        <f t="shared" si="33"/>
        <v>0</v>
      </c>
      <c r="AN21" s="647">
        <f t="shared" si="34"/>
        <v>0</v>
      </c>
      <c r="AO21" s="576">
        <f>+IF($H21=$H$37,$K21*Calculadores!$B$10,IF($H21=$H$38,$J21*$K21*Calculadores!$B$35*365*24,IF($H21=$H$39,$K21*Calculadores!$B$57,IF($H21=$H$40,$K21*Calculadores!$B$77,IF($H21=$H$41,$K21*Calculadores!$B$103*$J21/Calculadores!$B$96,IF($H21=$H$42,$J21/1000*$K21*Calculadores!$B$125*5*52,IF($H21=$H$43,$J21/1000*$K21*Calculadores!$H$125*5*52,IF($H21=$H$44,$J21*$K21*Calculadores!$B$153*Calculadores!$B$152,IF($H21=$H$45,$J21*$K21*Calculadores!$B$180*Calculadores!$B$179,IF($H21=$H$46,$J21*$K21*Calculadores!$B$207*Calculadores!$B$206,IF($H21=$H$47,$J21*$K21*Calculadores!$B$235*Calculadores!$B$234,0)))))))))))</f>
        <v>0</v>
      </c>
      <c r="AP21" s="647">
        <f t="shared" si="35"/>
        <v>0</v>
      </c>
      <c r="AQ21" s="577">
        <f t="shared" si="6"/>
        <v>0</v>
      </c>
      <c r="AR21" s="578">
        <f t="shared" si="63"/>
        <v>0</v>
      </c>
      <c r="AS21" s="578">
        <f t="shared" si="36"/>
        <v>0</v>
      </c>
      <c r="AT21" s="569" t="s">
        <v>17</v>
      </c>
      <c r="AU21" s="579"/>
      <c r="AV21" s="580">
        <f t="shared" si="7"/>
        <v>0</v>
      </c>
      <c r="AW21" s="581"/>
      <c r="AX21" s="580">
        <f t="shared" si="8"/>
        <v>0</v>
      </c>
      <c r="AY21" s="582">
        <f t="shared" si="9"/>
        <v>0</v>
      </c>
      <c r="AZ21" s="583">
        <f t="shared" si="37"/>
        <v>0</v>
      </c>
      <c r="BA21" s="584">
        <f t="shared" si="10"/>
        <v>0</v>
      </c>
      <c r="BB21" s="473" t="s">
        <v>74</v>
      </c>
      <c r="BC21" s="524">
        <f t="shared" si="38"/>
        <v>0</v>
      </c>
      <c r="BD21" s="675">
        <f t="shared" si="11"/>
        <v>0</v>
      </c>
      <c r="BE21" s="469">
        <f t="shared" si="12"/>
        <v>0</v>
      </c>
      <c r="BF21" s="470">
        <f t="shared" si="13"/>
        <v>0</v>
      </c>
      <c r="BG21" s="469">
        <f t="shared" si="14"/>
        <v>0</v>
      </c>
      <c r="BH21" s="742" t="str">
        <f>+IF(D21="Seleccione","",VLOOKUP(D21,'Datos Instalaciones'!$E$15:$F$34,2,FALSE))</f>
        <v/>
      </c>
      <c r="BI21" s="742">
        <f t="shared" si="39"/>
        <v>1</v>
      </c>
      <c r="BJ21" s="706" t="s">
        <v>17</v>
      </c>
      <c r="BK21" s="372">
        <f t="shared" si="40"/>
        <v>1</v>
      </c>
      <c r="BL21" s="669" t="str">
        <f t="shared" si="54"/>
        <v>Seleccione</v>
      </c>
      <c r="BM21" s="670">
        <f t="shared" si="15"/>
        <v>1</v>
      </c>
      <c r="BN21" s="669" t="str">
        <f t="shared" si="41"/>
        <v>No</v>
      </c>
      <c r="BO21" s="672">
        <f t="shared" si="16"/>
        <v>1</v>
      </c>
      <c r="BP21" s="669" t="str">
        <f t="shared" si="55"/>
        <v>Seleccione</v>
      </c>
      <c r="BQ21" s="671">
        <f>+IF('Datos Instalaciones'!$D$12="Residencial",MMEE!$BQ$37,1)</f>
        <v>1</v>
      </c>
      <c r="BR21" s="708" t="s">
        <v>17</v>
      </c>
      <c r="BS21" s="372">
        <f t="shared" si="17"/>
        <v>1</v>
      </c>
      <c r="BT21" s="706" t="s">
        <v>17</v>
      </c>
      <c r="BU21" s="372">
        <f t="shared" si="18"/>
        <v>1</v>
      </c>
      <c r="BV21" s="706" t="s">
        <v>17</v>
      </c>
      <c r="BW21" s="372">
        <f t="shared" si="19"/>
        <v>1</v>
      </c>
      <c r="BX21" s="481">
        <v>1</v>
      </c>
      <c r="BY21" s="670">
        <f t="shared" si="56"/>
        <v>1</v>
      </c>
      <c r="BZ21" s="670">
        <f t="shared" si="57"/>
        <v>1</v>
      </c>
      <c r="CA21" s="670">
        <f t="shared" si="58"/>
        <v>1</v>
      </c>
      <c r="CB21" s="670">
        <f t="shared" si="59"/>
        <v>1</v>
      </c>
      <c r="CC21" s="670">
        <f t="shared" si="60"/>
        <v>1</v>
      </c>
      <c r="CD21" s="670">
        <f t="shared" si="61"/>
        <v>1</v>
      </c>
      <c r="CE21" s="670">
        <f t="shared" si="62"/>
        <v>1</v>
      </c>
      <c r="CF21" s="485" t="s">
        <v>17</v>
      </c>
      <c r="CG21" s="486">
        <f t="shared" si="20"/>
        <v>1</v>
      </c>
      <c r="CH21" s="494">
        <v>1</v>
      </c>
      <c r="CI21" s="429">
        <f t="shared" si="43"/>
        <v>1</v>
      </c>
      <c r="CJ21" s="372">
        <f t="shared" si="44"/>
        <v>1</v>
      </c>
      <c r="CK21" s="498">
        <f t="shared" si="45"/>
        <v>0</v>
      </c>
      <c r="CL21" s="376">
        <f t="shared" si="46"/>
        <v>0</v>
      </c>
      <c r="CM21" s="498" t="e">
        <f t="shared" si="47"/>
        <v>#VALUE!</v>
      </c>
      <c r="CN21" s="376" t="e">
        <f t="shared" si="48"/>
        <v>#VALUE!</v>
      </c>
      <c r="CO21" s="500" t="e">
        <f t="shared" si="49"/>
        <v>#VALUE!</v>
      </c>
      <c r="CP21" s="373" t="e">
        <f t="shared" si="50"/>
        <v>#VALUE!</v>
      </c>
      <c r="CQ21" s="505">
        <f t="shared" si="51"/>
        <v>0</v>
      </c>
      <c r="CR21" s="505">
        <f t="shared" si="21"/>
        <v>0</v>
      </c>
      <c r="CS21" s="800"/>
      <c r="CT21" s="793"/>
    </row>
    <row r="22" spans="2:98" s="9" customFormat="1" ht="45" customHeight="1" thickBot="1" x14ac:dyDescent="0.3">
      <c r="B22" s="664">
        <f t="shared" si="52"/>
        <v>0</v>
      </c>
      <c r="C22" s="664">
        <f t="shared" si="53"/>
        <v>0</v>
      </c>
      <c r="D22" s="367" t="s">
        <v>17</v>
      </c>
      <c r="E22" s="663" t="str">
        <f>IF(D22="Seleccione","",VLOOKUP(MMEE!D22,'Datos Instalaciones'!$E$15:$AD$34,24,))</f>
        <v/>
      </c>
      <c r="F22" s="366">
        <v>13</v>
      </c>
      <c r="G22" s="663" t="s">
        <v>452</v>
      </c>
      <c r="H22" s="367" t="s">
        <v>17</v>
      </c>
      <c r="I22" s="507">
        <f t="shared" si="22"/>
        <v>0</v>
      </c>
      <c r="J22" s="375"/>
      <c r="K22" s="692"/>
      <c r="L22" s="467" t="str">
        <f t="shared" si="23"/>
        <v>Seleccione</v>
      </c>
      <c r="M22" s="467" t="str">
        <f t="shared" si="24"/>
        <v>Seleccione</v>
      </c>
      <c r="N22" s="370"/>
      <c r="O22" s="662" t="str">
        <f t="shared" si="64"/>
        <v/>
      </c>
      <c r="P22" s="703" t="s">
        <v>17</v>
      </c>
      <c r="Q22" s="519" t="s">
        <v>74</v>
      </c>
      <c r="R22" s="438" t="s">
        <v>17</v>
      </c>
      <c r="S22" s="522"/>
      <c r="T22" s="374"/>
      <c r="U22" s="474" t="s">
        <v>82</v>
      </c>
      <c r="V22" s="563" t="str">
        <f t="shared" si="1"/>
        <v>Seleccione</v>
      </c>
      <c r="W22" s="564">
        <f t="shared" si="25"/>
        <v>0</v>
      </c>
      <c r="X22" s="565">
        <f t="shared" si="26"/>
        <v>0</v>
      </c>
      <c r="Y22" s="565">
        <f>+IF($H22=$H$37,$K22*Calculadores!$B$9,IF($H22=$H$38,IF('Datos Instalaciones'!D24="Residencial",$J22*$K22*Calculadores!$B$32*365*24,$J22*$K22*Calculadores!$B$32*365*24*0.7),IF($H22=$H$39,$K22*Calculadores!$B$55,IF($H22=$H$40,$K22*Calculadores!$B$76,IF($H22=$H$41,($K22/Calculadores!$B$96)*$J22*Calculadores!$B$100,IF($H22=$H$42,$J22/Calculadores!$B$124/1000*$K22*Calculadores!$B$125*5*52,IF($H22=$H$43,$J22/Calculadores!$H$124/1000*$K22*Calculadores!$H$125*5*52,IF($H22=$H$44,$J22*$K22*Calculadores!$B$151*Calculadores!$B$153,IF($H22=$H$45,$J22*$K22*Calculadores!$B$180*Calculadores!$B$178,IF($H22=$H$46,$J22*$K22*Calculadores!$B$207*Calculadores!$B$205,IF($H22=$H$47,$J22*$K22*Calculadores!$B$235*Calculadores!$B$233,0)))))))))))</f>
        <v>0</v>
      </c>
      <c r="Z22" s="563">
        <f t="shared" si="27"/>
        <v>0</v>
      </c>
      <c r="AA22" s="566">
        <f t="shared" si="28"/>
        <v>0</v>
      </c>
      <c r="AB22" s="567">
        <f t="shared" si="29"/>
        <v>0</v>
      </c>
      <c r="AC22" s="568">
        <f t="shared" si="30"/>
        <v>0</v>
      </c>
      <c r="AD22" s="569" t="s">
        <v>17</v>
      </c>
      <c r="AE22" s="570"/>
      <c r="AF22" s="571">
        <f t="shared" si="2"/>
        <v>0</v>
      </c>
      <c r="AG22" s="572"/>
      <c r="AH22" s="571">
        <f t="shared" si="3"/>
        <v>0</v>
      </c>
      <c r="AI22" s="573">
        <f t="shared" si="4"/>
        <v>0</v>
      </c>
      <c r="AJ22" s="574">
        <f t="shared" si="31"/>
        <v>0</v>
      </c>
      <c r="AK22" s="574">
        <f t="shared" si="5"/>
        <v>0</v>
      </c>
      <c r="AL22" s="575" t="str">
        <f t="shared" si="32"/>
        <v>Seleccione</v>
      </c>
      <c r="AM22" s="647">
        <f t="shared" si="33"/>
        <v>0</v>
      </c>
      <c r="AN22" s="647">
        <f t="shared" si="34"/>
        <v>0</v>
      </c>
      <c r="AO22" s="576">
        <f>+IF($H22=$H$37,$K22*Calculadores!$B$10,IF($H22=$H$38,$J22*$K22*Calculadores!$B$35*365*24,IF($H22=$H$39,$K22*Calculadores!$B$57,IF($H22=$H$40,$K22*Calculadores!$B$77,IF($H22=$H$41,$K22*Calculadores!$B$103*$J22/Calculadores!$B$96,IF($H22=$H$42,$J22/1000*$K22*Calculadores!$B$125*5*52,IF($H22=$H$43,$J22/1000*$K22*Calculadores!$H$125*5*52,IF($H22=$H$44,$J22*$K22*Calculadores!$B$153*Calculadores!$B$152,IF($H22=$H$45,$J22*$K22*Calculadores!$B$180*Calculadores!$B$179,IF($H22=$H$46,$J22*$K22*Calculadores!$B$207*Calculadores!$B$206,IF($H22=$H$47,$J22*$K22*Calculadores!$B$235*Calculadores!$B$234,0)))))))))))</f>
        <v>0</v>
      </c>
      <c r="AP22" s="647">
        <f t="shared" si="35"/>
        <v>0</v>
      </c>
      <c r="AQ22" s="577">
        <f t="shared" si="6"/>
        <v>0</v>
      </c>
      <c r="AR22" s="578">
        <f t="shared" si="63"/>
        <v>0</v>
      </c>
      <c r="AS22" s="578">
        <f t="shared" si="36"/>
        <v>0</v>
      </c>
      <c r="AT22" s="569" t="s">
        <v>17</v>
      </c>
      <c r="AU22" s="579"/>
      <c r="AV22" s="580">
        <f t="shared" si="7"/>
        <v>0</v>
      </c>
      <c r="AW22" s="581"/>
      <c r="AX22" s="580">
        <f t="shared" si="8"/>
        <v>0</v>
      </c>
      <c r="AY22" s="582">
        <f t="shared" si="9"/>
        <v>0</v>
      </c>
      <c r="AZ22" s="583">
        <f t="shared" si="37"/>
        <v>0</v>
      </c>
      <c r="BA22" s="584">
        <f t="shared" si="10"/>
        <v>0</v>
      </c>
      <c r="BB22" s="473" t="s">
        <v>74</v>
      </c>
      <c r="BC22" s="524">
        <f t="shared" si="38"/>
        <v>0</v>
      </c>
      <c r="BD22" s="675">
        <f t="shared" si="11"/>
        <v>0</v>
      </c>
      <c r="BE22" s="469">
        <f t="shared" si="12"/>
        <v>0</v>
      </c>
      <c r="BF22" s="470">
        <f t="shared" si="13"/>
        <v>0</v>
      </c>
      <c r="BG22" s="469">
        <f t="shared" si="14"/>
        <v>0</v>
      </c>
      <c r="BH22" s="742" t="str">
        <f>+IF(D22="Seleccione","",VLOOKUP(D22,'Datos Instalaciones'!$E$15:$F$34,2,FALSE))</f>
        <v/>
      </c>
      <c r="BI22" s="742">
        <f t="shared" si="39"/>
        <v>1</v>
      </c>
      <c r="BJ22" s="706" t="s">
        <v>17</v>
      </c>
      <c r="BK22" s="372">
        <f t="shared" si="40"/>
        <v>1</v>
      </c>
      <c r="BL22" s="669" t="str">
        <f t="shared" si="54"/>
        <v>Seleccione</v>
      </c>
      <c r="BM22" s="670">
        <f t="shared" si="15"/>
        <v>1</v>
      </c>
      <c r="BN22" s="669" t="str">
        <f t="shared" si="41"/>
        <v>No</v>
      </c>
      <c r="BO22" s="670">
        <f t="shared" si="16"/>
        <v>1</v>
      </c>
      <c r="BP22" s="669" t="str">
        <f t="shared" si="55"/>
        <v>Seleccione</v>
      </c>
      <c r="BQ22" s="671">
        <f>+IF('Datos Instalaciones'!$D$12="Residencial",MMEE!$BQ$37,1)</f>
        <v>1</v>
      </c>
      <c r="BR22" s="708" t="s">
        <v>17</v>
      </c>
      <c r="BS22" s="372">
        <f t="shared" si="17"/>
        <v>1</v>
      </c>
      <c r="BT22" s="706" t="s">
        <v>17</v>
      </c>
      <c r="BU22" s="372">
        <f t="shared" si="18"/>
        <v>1</v>
      </c>
      <c r="BV22" s="706" t="s">
        <v>17</v>
      </c>
      <c r="BW22" s="372">
        <f t="shared" si="19"/>
        <v>1</v>
      </c>
      <c r="BX22" s="481">
        <v>1</v>
      </c>
      <c r="BY22" s="670">
        <f t="shared" si="56"/>
        <v>1</v>
      </c>
      <c r="BZ22" s="670">
        <f t="shared" si="57"/>
        <v>1</v>
      </c>
      <c r="CA22" s="670">
        <f t="shared" si="58"/>
        <v>1</v>
      </c>
      <c r="CB22" s="670">
        <f t="shared" si="59"/>
        <v>1</v>
      </c>
      <c r="CC22" s="670">
        <f t="shared" si="60"/>
        <v>1</v>
      </c>
      <c r="CD22" s="670">
        <f t="shared" si="61"/>
        <v>1</v>
      </c>
      <c r="CE22" s="670">
        <f t="shared" si="62"/>
        <v>1</v>
      </c>
      <c r="CF22" s="485" t="s">
        <v>17</v>
      </c>
      <c r="CG22" s="486">
        <f t="shared" si="20"/>
        <v>1</v>
      </c>
      <c r="CH22" s="494">
        <v>1</v>
      </c>
      <c r="CI22" s="429">
        <f t="shared" si="43"/>
        <v>1</v>
      </c>
      <c r="CJ22" s="372">
        <f t="shared" si="44"/>
        <v>1</v>
      </c>
      <c r="CK22" s="498">
        <f t="shared" si="45"/>
        <v>0</v>
      </c>
      <c r="CL22" s="376">
        <f t="shared" si="46"/>
        <v>0</v>
      </c>
      <c r="CM22" s="498" t="e">
        <f t="shared" si="47"/>
        <v>#VALUE!</v>
      </c>
      <c r="CN22" s="376" t="e">
        <f t="shared" si="48"/>
        <v>#VALUE!</v>
      </c>
      <c r="CO22" s="500" t="e">
        <f t="shared" si="49"/>
        <v>#VALUE!</v>
      </c>
      <c r="CP22" s="373" t="e">
        <f t="shared" si="50"/>
        <v>#VALUE!</v>
      </c>
      <c r="CQ22" s="505">
        <f t="shared" si="51"/>
        <v>0</v>
      </c>
      <c r="CR22" s="505">
        <f t="shared" si="21"/>
        <v>0</v>
      </c>
      <c r="CS22" s="800"/>
      <c r="CT22" s="793"/>
    </row>
    <row r="23" spans="2:98" s="9" customFormat="1" ht="45" customHeight="1" thickBot="1" x14ac:dyDescent="0.3">
      <c r="B23" s="664">
        <f t="shared" si="52"/>
        <v>0</v>
      </c>
      <c r="C23" s="664">
        <f t="shared" si="53"/>
        <v>0</v>
      </c>
      <c r="D23" s="367" t="s">
        <v>17</v>
      </c>
      <c r="E23" s="663" t="str">
        <f>IF(D23="Seleccione","",VLOOKUP(MMEE!D23,'Datos Instalaciones'!$E$15:$AD$34,24,))</f>
        <v/>
      </c>
      <c r="F23" s="366">
        <v>14</v>
      </c>
      <c r="G23" s="663" t="s">
        <v>452</v>
      </c>
      <c r="H23" s="367" t="s">
        <v>17</v>
      </c>
      <c r="I23" s="507">
        <f t="shared" si="22"/>
        <v>0</v>
      </c>
      <c r="J23" s="375"/>
      <c r="K23" s="691"/>
      <c r="L23" s="467" t="str">
        <f t="shared" si="23"/>
        <v>Seleccione</v>
      </c>
      <c r="M23" s="467" t="str">
        <f t="shared" si="24"/>
        <v>Seleccione</v>
      </c>
      <c r="N23" s="370"/>
      <c r="O23" s="662" t="str">
        <f t="shared" si="64"/>
        <v/>
      </c>
      <c r="P23" s="703" t="s">
        <v>17</v>
      </c>
      <c r="Q23" s="519" t="s">
        <v>74</v>
      </c>
      <c r="R23" s="438" t="s">
        <v>17</v>
      </c>
      <c r="S23" s="522"/>
      <c r="T23" s="374"/>
      <c r="U23" s="474" t="s">
        <v>82</v>
      </c>
      <c r="V23" s="563" t="str">
        <f t="shared" si="1"/>
        <v>Seleccione</v>
      </c>
      <c r="W23" s="564">
        <f t="shared" si="25"/>
        <v>0</v>
      </c>
      <c r="X23" s="565">
        <f t="shared" si="26"/>
        <v>0</v>
      </c>
      <c r="Y23" s="565">
        <f>+IF($H23=$H$37,$K23*Calculadores!$B$9,IF($H23=$H$38,IF('Datos Instalaciones'!D25="Residencial",$J23*$K23*Calculadores!$B$32*365*24,$J23*$K23*Calculadores!$B$32*365*24*0.7),IF($H23=$H$39,$K23*Calculadores!$B$55,IF($H23=$H$40,$K23*Calculadores!$B$76,IF($H23=$H$41,($K23/Calculadores!$B$96)*$J23*Calculadores!$B$100,IF($H23=$H$42,$J23/Calculadores!$B$124/1000*$K23*Calculadores!$B$125*5*52,IF($H23=$H$43,$J23/Calculadores!$H$124/1000*$K23*Calculadores!$H$125*5*52,IF($H23=$H$44,$J23*$K23*Calculadores!$B$151*Calculadores!$B$153,IF($H23=$H$45,$J23*$K23*Calculadores!$B$180*Calculadores!$B$178,IF($H23=$H$46,$J23*$K23*Calculadores!$B$207*Calculadores!$B$205,IF($H23=$H$47,$J23*$K23*Calculadores!$B$235*Calculadores!$B$233,0)))))))))))</f>
        <v>0</v>
      </c>
      <c r="Z23" s="563">
        <f t="shared" si="27"/>
        <v>0</v>
      </c>
      <c r="AA23" s="566">
        <f t="shared" si="28"/>
        <v>0</v>
      </c>
      <c r="AB23" s="567">
        <f t="shared" si="29"/>
        <v>0</v>
      </c>
      <c r="AC23" s="568">
        <f t="shared" si="30"/>
        <v>0</v>
      </c>
      <c r="AD23" s="569" t="s">
        <v>17</v>
      </c>
      <c r="AE23" s="570"/>
      <c r="AF23" s="571">
        <f t="shared" si="2"/>
        <v>0</v>
      </c>
      <c r="AG23" s="572"/>
      <c r="AH23" s="571">
        <f t="shared" si="3"/>
        <v>0</v>
      </c>
      <c r="AI23" s="573">
        <f t="shared" si="4"/>
        <v>0</v>
      </c>
      <c r="AJ23" s="574">
        <f t="shared" si="31"/>
        <v>0</v>
      </c>
      <c r="AK23" s="574">
        <f t="shared" si="5"/>
        <v>0</v>
      </c>
      <c r="AL23" s="575" t="str">
        <f t="shared" si="32"/>
        <v>Seleccione</v>
      </c>
      <c r="AM23" s="647">
        <f t="shared" si="33"/>
        <v>0</v>
      </c>
      <c r="AN23" s="647">
        <f t="shared" si="34"/>
        <v>0</v>
      </c>
      <c r="AO23" s="576">
        <f>+IF($H23=$H$37,$K23*Calculadores!$B$10,IF($H23=$H$38,$J23*$K23*Calculadores!$B$35*365*24,IF($H23=$H$39,$K23*Calculadores!$B$57,IF($H23=$H$40,$K23*Calculadores!$B$77,IF($H23=$H$41,$K23*Calculadores!$B$103*$J23/Calculadores!$B$96,IF($H23=$H$42,$J23/1000*$K23*Calculadores!$B$125*5*52,IF($H23=$H$43,$J23/1000*$K23*Calculadores!$H$125*5*52,IF($H23=$H$44,$J23*$K23*Calculadores!$B$153*Calculadores!$B$152,IF($H23=$H$45,$J23*$K23*Calculadores!$B$180*Calculadores!$B$179,IF($H23=$H$46,$J23*$K23*Calculadores!$B$207*Calculadores!$B$206,IF($H23=$H$47,$J23*$K23*Calculadores!$B$235*Calculadores!$B$234,0)))))))))))</f>
        <v>0</v>
      </c>
      <c r="AP23" s="647">
        <f t="shared" si="35"/>
        <v>0</v>
      </c>
      <c r="AQ23" s="577">
        <f t="shared" si="6"/>
        <v>0</v>
      </c>
      <c r="AR23" s="578">
        <f t="shared" si="63"/>
        <v>0</v>
      </c>
      <c r="AS23" s="578">
        <f t="shared" si="36"/>
        <v>0</v>
      </c>
      <c r="AT23" s="569" t="s">
        <v>17</v>
      </c>
      <c r="AU23" s="579"/>
      <c r="AV23" s="580">
        <f t="shared" si="7"/>
        <v>0</v>
      </c>
      <c r="AW23" s="581"/>
      <c r="AX23" s="580">
        <f t="shared" si="8"/>
        <v>0</v>
      </c>
      <c r="AY23" s="582">
        <f t="shared" si="9"/>
        <v>0</v>
      </c>
      <c r="AZ23" s="583">
        <f t="shared" si="37"/>
        <v>0</v>
      </c>
      <c r="BA23" s="584">
        <f t="shared" si="10"/>
        <v>0</v>
      </c>
      <c r="BB23" s="473" t="s">
        <v>74</v>
      </c>
      <c r="BC23" s="524">
        <f t="shared" si="38"/>
        <v>0</v>
      </c>
      <c r="BD23" s="675">
        <f t="shared" si="11"/>
        <v>0</v>
      </c>
      <c r="BE23" s="469">
        <f t="shared" si="12"/>
        <v>0</v>
      </c>
      <c r="BF23" s="470">
        <f t="shared" si="13"/>
        <v>0</v>
      </c>
      <c r="BG23" s="469">
        <f t="shared" si="14"/>
        <v>0</v>
      </c>
      <c r="BH23" s="742" t="str">
        <f>+IF(D23="Seleccione","",VLOOKUP(D23,'Datos Instalaciones'!$E$15:$F$34,2,FALSE))</f>
        <v/>
      </c>
      <c r="BI23" s="742">
        <f t="shared" si="39"/>
        <v>1</v>
      </c>
      <c r="BJ23" s="706" t="s">
        <v>17</v>
      </c>
      <c r="BK23" s="372">
        <f t="shared" si="40"/>
        <v>1</v>
      </c>
      <c r="BL23" s="669" t="str">
        <f t="shared" si="54"/>
        <v>Seleccione</v>
      </c>
      <c r="BM23" s="670">
        <f t="shared" si="15"/>
        <v>1</v>
      </c>
      <c r="BN23" s="669" t="str">
        <f t="shared" si="41"/>
        <v>No</v>
      </c>
      <c r="BO23" s="670">
        <f t="shared" si="16"/>
        <v>1</v>
      </c>
      <c r="BP23" s="669" t="str">
        <f t="shared" si="55"/>
        <v>Seleccione</v>
      </c>
      <c r="BQ23" s="671">
        <f>+IF('Datos Instalaciones'!$D$12="Residencial",MMEE!$BQ$37,1)</f>
        <v>1</v>
      </c>
      <c r="BR23" s="708" t="s">
        <v>17</v>
      </c>
      <c r="BS23" s="372">
        <f t="shared" si="17"/>
        <v>1</v>
      </c>
      <c r="BT23" s="706" t="s">
        <v>17</v>
      </c>
      <c r="BU23" s="372">
        <f t="shared" si="18"/>
        <v>1</v>
      </c>
      <c r="BV23" s="706" t="s">
        <v>17</v>
      </c>
      <c r="BW23" s="372">
        <f t="shared" si="19"/>
        <v>1</v>
      </c>
      <c r="BX23" s="481">
        <v>1</v>
      </c>
      <c r="BY23" s="670">
        <f t="shared" si="56"/>
        <v>1</v>
      </c>
      <c r="BZ23" s="670">
        <f t="shared" si="57"/>
        <v>1</v>
      </c>
      <c r="CA23" s="670">
        <f t="shared" si="58"/>
        <v>1</v>
      </c>
      <c r="CB23" s="670">
        <f t="shared" si="59"/>
        <v>1</v>
      </c>
      <c r="CC23" s="670">
        <f t="shared" si="60"/>
        <v>1</v>
      </c>
      <c r="CD23" s="670">
        <f t="shared" si="61"/>
        <v>1</v>
      </c>
      <c r="CE23" s="670">
        <f t="shared" si="62"/>
        <v>1</v>
      </c>
      <c r="CF23" s="485" t="s">
        <v>17</v>
      </c>
      <c r="CG23" s="486">
        <f t="shared" si="20"/>
        <v>1</v>
      </c>
      <c r="CH23" s="494">
        <v>1</v>
      </c>
      <c r="CI23" s="429">
        <f t="shared" si="43"/>
        <v>1</v>
      </c>
      <c r="CJ23" s="372">
        <f t="shared" si="44"/>
        <v>1</v>
      </c>
      <c r="CK23" s="498">
        <f t="shared" si="45"/>
        <v>0</v>
      </c>
      <c r="CL23" s="376">
        <f t="shared" si="46"/>
        <v>0</v>
      </c>
      <c r="CM23" s="498" t="e">
        <f t="shared" si="47"/>
        <v>#VALUE!</v>
      </c>
      <c r="CN23" s="376" t="e">
        <f t="shared" si="48"/>
        <v>#VALUE!</v>
      </c>
      <c r="CO23" s="500" t="e">
        <f t="shared" si="49"/>
        <v>#VALUE!</v>
      </c>
      <c r="CP23" s="373" t="e">
        <f t="shared" si="50"/>
        <v>#VALUE!</v>
      </c>
      <c r="CQ23" s="505">
        <f t="shared" si="51"/>
        <v>0</v>
      </c>
      <c r="CR23" s="505">
        <f t="shared" si="21"/>
        <v>0</v>
      </c>
      <c r="CS23" s="800"/>
      <c r="CT23" s="793"/>
    </row>
    <row r="24" spans="2:98" s="9" customFormat="1" ht="45" customHeight="1" thickBot="1" x14ac:dyDescent="0.3">
      <c r="B24" s="664">
        <f t="shared" si="52"/>
        <v>0</v>
      </c>
      <c r="C24" s="664">
        <f t="shared" si="53"/>
        <v>0</v>
      </c>
      <c r="D24" s="367" t="s">
        <v>17</v>
      </c>
      <c r="E24" s="663" t="str">
        <f>IF(D24="Seleccione","",VLOOKUP(MMEE!D24,'Datos Instalaciones'!$E$15:$AD$34,24,))</f>
        <v/>
      </c>
      <c r="F24" s="366">
        <v>15</v>
      </c>
      <c r="G24" s="663" t="s">
        <v>452</v>
      </c>
      <c r="H24" s="367" t="s">
        <v>17</v>
      </c>
      <c r="I24" s="507">
        <f t="shared" si="22"/>
        <v>0</v>
      </c>
      <c r="J24" s="375"/>
      <c r="K24" s="691"/>
      <c r="L24" s="467" t="str">
        <f t="shared" si="23"/>
        <v>Seleccione</v>
      </c>
      <c r="M24" s="467" t="str">
        <f t="shared" si="24"/>
        <v>Seleccione</v>
      </c>
      <c r="N24" s="370"/>
      <c r="O24" s="662" t="str">
        <f t="shared" si="64"/>
        <v/>
      </c>
      <c r="P24" s="703" t="s">
        <v>17</v>
      </c>
      <c r="Q24" s="519" t="s">
        <v>74</v>
      </c>
      <c r="R24" s="438" t="s">
        <v>17</v>
      </c>
      <c r="S24" s="522"/>
      <c r="T24" s="374"/>
      <c r="U24" s="474" t="s">
        <v>82</v>
      </c>
      <c r="V24" s="563" t="str">
        <f t="shared" si="1"/>
        <v>Seleccione</v>
      </c>
      <c r="W24" s="564">
        <f t="shared" si="25"/>
        <v>0</v>
      </c>
      <c r="X24" s="565">
        <f t="shared" si="26"/>
        <v>0</v>
      </c>
      <c r="Y24" s="565">
        <f>+IF($H24=$H$37,$K24*Calculadores!$B$9,IF($H24=$H$38,IF('Datos Instalaciones'!D26="Residencial",$J24*$K24*Calculadores!$B$32*365*24,$J24*$K24*Calculadores!$B$32*365*24*0.7),IF($H24=$H$39,$K24*Calculadores!$B$55,IF($H24=$H$40,$K24*Calculadores!$B$76,IF($H24=$H$41,($K24/Calculadores!$B$96)*$J24*Calculadores!$B$100,IF($H24=$H$42,$J24/Calculadores!$B$124/1000*$K24*Calculadores!$B$125*5*52,IF($H24=$H$43,$J24/Calculadores!$H$124/1000*$K24*Calculadores!$H$125*5*52,IF($H24=$H$44,$J24*$K24*Calculadores!$B$151*Calculadores!$B$153,IF($H24=$H$45,$J24*$K24*Calculadores!$B$180*Calculadores!$B$178,IF($H24=$H$46,$J24*$K24*Calculadores!$B$207*Calculadores!$B$205,IF($H24=$H$47,$J24*$K24*Calculadores!$B$235*Calculadores!$B$233,0)))))))))))</f>
        <v>0</v>
      </c>
      <c r="Z24" s="563">
        <f t="shared" si="27"/>
        <v>0</v>
      </c>
      <c r="AA24" s="566">
        <f t="shared" si="28"/>
        <v>0</v>
      </c>
      <c r="AB24" s="567">
        <f t="shared" si="29"/>
        <v>0</v>
      </c>
      <c r="AC24" s="568">
        <f t="shared" si="30"/>
        <v>0</v>
      </c>
      <c r="AD24" s="569" t="s">
        <v>17</v>
      </c>
      <c r="AE24" s="570"/>
      <c r="AF24" s="571">
        <f t="shared" si="2"/>
        <v>0</v>
      </c>
      <c r="AG24" s="572"/>
      <c r="AH24" s="571">
        <f t="shared" si="3"/>
        <v>0</v>
      </c>
      <c r="AI24" s="573">
        <f t="shared" si="4"/>
        <v>0</v>
      </c>
      <c r="AJ24" s="574">
        <f t="shared" si="31"/>
        <v>0</v>
      </c>
      <c r="AK24" s="574">
        <f t="shared" si="5"/>
        <v>0</v>
      </c>
      <c r="AL24" s="575" t="str">
        <f t="shared" si="32"/>
        <v>Seleccione</v>
      </c>
      <c r="AM24" s="647">
        <f t="shared" si="33"/>
        <v>0</v>
      </c>
      <c r="AN24" s="647">
        <f t="shared" si="34"/>
        <v>0</v>
      </c>
      <c r="AO24" s="576">
        <f>+IF($H24=$H$37,$K24*Calculadores!$B$10,IF($H24=$H$38,$J24*$K24*Calculadores!$B$35*365*24,IF($H24=$H$39,$K24*Calculadores!$B$57,IF($H24=$H$40,$K24*Calculadores!$B$77,IF($H24=$H$41,$K24*Calculadores!$B$103*$J24/Calculadores!$B$96,IF($H24=$H$42,$J24/1000*$K24*Calculadores!$B$125*5*52,IF($H24=$H$43,$J24/1000*$K24*Calculadores!$H$125*5*52,IF($H24=$H$44,$J24*$K24*Calculadores!$B$153*Calculadores!$B$152,IF($H24=$H$45,$J24*$K24*Calculadores!$B$180*Calculadores!$B$179,IF($H24=$H$46,$J24*$K24*Calculadores!$B$207*Calculadores!$B$206,IF($H24=$H$47,$J24*$K24*Calculadores!$B$235*Calculadores!$B$234,0)))))))))))</f>
        <v>0</v>
      </c>
      <c r="AP24" s="647">
        <f t="shared" si="35"/>
        <v>0</v>
      </c>
      <c r="AQ24" s="577">
        <f t="shared" si="6"/>
        <v>0</v>
      </c>
      <c r="AR24" s="578">
        <f t="shared" si="63"/>
        <v>0</v>
      </c>
      <c r="AS24" s="578">
        <f t="shared" si="36"/>
        <v>0</v>
      </c>
      <c r="AT24" s="569" t="s">
        <v>17</v>
      </c>
      <c r="AU24" s="579"/>
      <c r="AV24" s="580">
        <f t="shared" si="7"/>
        <v>0</v>
      </c>
      <c r="AW24" s="581"/>
      <c r="AX24" s="580">
        <f t="shared" si="8"/>
        <v>0</v>
      </c>
      <c r="AY24" s="582">
        <f t="shared" si="9"/>
        <v>0</v>
      </c>
      <c r="AZ24" s="583">
        <f t="shared" si="37"/>
        <v>0</v>
      </c>
      <c r="BA24" s="584">
        <f t="shared" si="10"/>
        <v>0</v>
      </c>
      <c r="BB24" s="473" t="s">
        <v>74</v>
      </c>
      <c r="BC24" s="524">
        <f t="shared" si="38"/>
        <v>0</v>
      </c>
      <c r="BD24" s="675">
        <f t="shared" si="11"/>
        <v>0</v>
      </c>
      <c r="BE24" s="469">
        <f t="shared" si="12"/>
        <v>0</v>
      </c>
      <c r="BF24" s="470">
        <f t="shared" si="13"/>
        <v>0</v>
      </c>
      <c r="BG24" s="469">
        <f t="shared" si="14"/>
        <v>0</v>
      </c>
      <c r="BH24" s="742" t="str">
        <f>+IF(D24="Seleccione","",VLOOKUP(D24,'Datos Instalaciones'!$E$15:$F$34,2,FALSE))</f>
        <v/>
      </c>
      <c r="BI24" s="742">
        <f t="shared" si="39"/>
        <v>1</v>
      </c>
      <c r="BJ24" s="706" t="s">
        <v>17</v>
      </c>
      <c r="BK24" s="372">
        <f t="shared" si="40"/>
        <v>1</v>
      </c>
      <c r="BL24" s="669" t="str">
        <f t="shared" si="54"/>
        <v>Seleccione</v>
      </c>
      <c r="BM24" s="670">
        <f t="shared" si="15"/>
        <v>1</v>
      </c>
      <c r="BN24" s="669" t="str">
        <f t="shared" si="41"/>
        <v>No</v>
      </c>
      <c r="BO24" s="670">
        <f t="shared" si="16"/>
        <v>1</v>
      </c>
      <c r="BP24" s="669" t="str">
        <f t="shared" si="55"/>
        <v>Seleccione</v>
      </c>
      <c r="BQ24" s="671">
        <f>+IF('Datos Instalaciones'!$D$12="Residencial",MMEE!$BQ$37,1)</f>
        <v>1</v>
      </c>
      <c r="BR24" s="708" t="s">
        <v>17</v>
      </c>
      <c r="BS24" s="372">
        <f t="shared" si="17"/>
        <v>1</v>
      </c>
      <c r="BT24" s="706" t="s">
        <v>17</v>
      </c>
      <c r="BU24" s="372">
        <f t="shared" si="18"/>
        <v>1</v>
      </c>
      <c r="BV24" s="706" t="s">
        <v>17</v>
      </c>
      <c r="BW24" s="372">
        <f t="shared" si="19"/>
        <v>1</v>
      </c>
      <c r="BX24" s="481">
        <v>1</v>
      </c>
      <c r="BY24" s="670">
        <f t="shared" si="56"/>
        <v>1</v>
      </c>
      <c r="BZ24" s="670">
        <f t="shared" si="57"/>
        <v>1</v>
      </c>
      <c r="CA24" s="670">
        <f t="shared" si="58"/>
        <v>1</v>
      </c>
      <c r="CB24" s="670">
        <f t="shared" si="59"/>
        <v>1</v>
      </c>
      <c r="CC24" s="670">
        <f t="shared" si="60"/>
        <v>1</v>
      </c>
      <c r="CD24" s="670">
        <f t="shared" si="61"/>
        <v>1</v>
      </c>
      <c r="CE24" s="670">
        <f t="shared" si="62"/>
        <v>1</v>
      </c>
      <c r="CF24" s="485" t="s">
        <v>17</v>
      </c>
      <c r="CG24" s="486">
        <f t="shared" si="20"/>
        <v>1</v>
      </c>
      <c r="CH24" s="494">
        <v>1</v>
      </c>
      <c r="CI24" s="429">
        <f t="shared" si="43"/>
        <v>1</v>
      </c>
      <c r="CJ24" s="372">
        <f t="shared" si="44"/>
        <v>1</v>
      </c>
      <c r="CK24" s="498">
        <f t="shared" si="45"/>
        <v>0</v>
      </c>
      <c r="CL24" s="376">
        <f t="shared" si="46"/>
        <v>0</v>
      </c>
      <c r="CM24" s="498" t="e">
        <f t="shared" si="47"/>
        <v>#VALUE!</v>
      </c>
      <c r="CN24" s="376" t="e">
        <f t="shared" si="48"/>
        <v>#VALUE!</v>
      </c>
      <c r="CO24" s="500" t="e">
        <f t="shared" si="49"/>
        <v>#VALUE!</v>
      </c>
      <c r="CP24" s="373" t="e">
        <f t="shared" si="50"/>
        <v>#VALUE!</v>
      </c>
      <c r="CQ24" s="505">
        <f t="shared" si="51"/>
        <v>0</v>
      </c>
      <c r="CR24" s="505">
        <f t="shared" si="21"/>
        <v>0</v>
      </c>
      <c r="CS24" s="800"/>
      <c r="CT24" s="793"/>
    </row>
    <row r="25" spans="2:98" s="9" customFormat="1" ht="45" customHeight="1" thickBot="1" x14ac:dyDescent="0.3">
      <c r="B25" s="664">
        <f t="shared" si="52"/>
        <v>0</v>
      </c>
      <c r="C25" s="664">
        <f t="shared" si="53"/>
        <v>0</v>
      </c>
      <c r="D25" s="367" t="s">
        <v>17</v>
      </c>
      <c r="E25" s="663" t="str">
        <f>IF(D25="Seleccione","",VLOOKUP(MMEE!D25,'Datos Instalaciones'!$E$15:$AD$34,24,))</f>
        <v/>
      </c>
      <c r="F25" s="366">
        <v>16</v>
      </c>
      <c r="G25" s="663" t="s">
        <v>452</v>
      </c>
      <c r="H25" s="367" t="s">
        <v>17</v>
      </c>
      <c r="I25" s="507">
        <f t="shared" si="22"/>
        <v>0</v>
      </c>
      <c r="J25" s="375"/>
      <c r="K25" s="691"/>
      <c r="L25" s="467" t="str">
        <f t="shared" si="23"/>
        <v>Seleccione</v>
      </c>
      <c r="M25" s="467" t="str">
        <f t="shared" si="24"/>
        <v>Seleccione</v>
      </c>
      <c r="N25" s="370"/>
      <c r="O25" s="662" t="str">
        <f t="shared" si="64"/>
        <v/>
      </c>
      <c r="P25" s="703" t="s">
        <v>17</v>
      </c>
      <c r="Q25" s="519" t="s">
        <v>74</v>
      </c>
      <c r="R25" s="438" t="s">
        <v>17</v>
      </c>
      <c r="S25" s="522"/>
      <c r="T25" s="374"/>
      <c r="U25" s="474" t="s">
        <v>82</v>
      </c>
      <c r="V25" s="563" t="str">
        <f t="shared" si="1"/>
        <v>Seleccione</v>
      </c>
      <c r="W25" s="564">
        <f t="shared" si="25"/>
        <v>0</v>
      </c>
      <c r="X25" s="565">
        <f t="shared" si="26"/>
        <v>0</v>
      </c>
      <c r="Y25" s="565">
        <f>+IF($H25=$H$37,$K25*Calculadores!$B$9,IF($H25=$H$38,IF('Datos Instalaciones'!D27="Residencial",$J25*$K25*Calculadores!$B$32*365*24,$J25*$K25*Calculadores!$B$32*365*24*0.7),IF($H25=$H$39,$K25*Calculadores!$B$55,IF($H25=$H$40,$K25*Calculadores!$B$76,IF($H25=$H$41,($K25/Calculadores!$B$96)*$J25*Calculadores!$B$100,IF($H25=$H$42,$J25/Calculadores!$B$124/1000*$K25*Calculadores!$B$125*5*52,IF($H25=$H$43,$J25/Calculadores!$H$124/1000*$K25*Calculadores!$H$125*5*52,IF($H25=$H$44,$J25*$K25*Calculadores!$B$151*Calculadores!$B$153,IF($H25=$H$45,$J25*$K25*Calculadores!$B$180*Calculadores!$B$178,IF($H25=$H$46,$J25*$K25*Calculadores!$B$207*Calculadores!$B$205,IF($H25=$H$47,$J25*$K25*Calculadores!$B$235*Calculadores!$B$233,0)))))))))))</f>
        <v>0</v>
      </c>
      <c r="Z25" s="563">
        <f t="shared" si="27"/>
        <v>0</v>
      </c>
      <c r="AA25" s="566">
        <f t="shared" si="28"/>
        <v>0</v>
      </c>
      <c r="AB25" s="567">
        <f t="shared" si="29"/>
        <v>0</v>
      </c>
      <c r="AC25" s="568">
        <f t="shared" si="30"/>
        <v>0</v>
      </c>
      <c r="AD25" s="569" t="s">
        <v>17</v>
      </c>
      <c r="AE25" s="570"/>
      <c r="AF25" s="571">
        <f t="shared" si="2"/>
        <v>0</v>
      </c>
      <c r="AG25" s="572"/>
      <c r="AH25" s="571">
        <f t="shared" si="3"/>
        <v>0</v>
      </c>
      <c r="AI25" s="573">
        <f t="shared" si="4"/>
        <v>0</v>
      </c>
      <c r="AJ25" s="574">
        <f t="shared" si="31"/>
        <v>0</v>
      </c>
      <c r="AK25" s="574">
        <f t="shared" si="5"/>
        <v>0</v>
      </c>
      <c r="AL25" s="575" t="str">
        <f t="shared" si="32"/>
        <v>Seleccione</v>
      </c>
      <c r="AM25" s="647">
        <f t="shared" si="33"/>
        <v>0</v>
      </c>
      <c r="AN25" s="647">
        <f t="shared" si="34"/>
        <v>0</v>
      </c>
      <c r="AO25" s="576">
        <f>+IF($H25=$H$37,$K25*Calculadores!$B$10,IF($H25=$H$38,$J25*$K25*Calculadores!$B$35*365*24,IF($H25=$H$39,$K25*Calculadores!$B$57,IF($H25=$H$40,$K25*Calculadores!$B$77,IF($H25=$H$41,$K25*Calculadores!$B$103*$J25/Calculadores!$B$96,IF($H25=$H$42,$J25/1000*$K25*Calculadores!$B$125*5*52,IF($H25=$H$43,$J25/1000*$K25*Calculadores!$H$125*5*52,IF($H25=$H$44,$J25*$K25*Calculadores!$B$153*Calculadores!$B$152,IF($H25=$H$45,$J25*$K25*Calculadores!$B$180*Calculadores!$B$179,IF($H25=$H$46,$J25*$K25*Calculadores!$B$207*Calculadores!$B$206,IF($H25=$H$47,$J25*$K25*Calculadores!$B$235*Calculadores!$B$234,0)))))))))))</f>
        <v>0</v>
      </c>
      <c r="AP25" s="647">
        <f t="shared" si="35"/>
        <v>0</v>
      </c>
      <c r="AQ25" s="577">
        <f t="shared" si="6"/>
        <v>0</v>
      </c>
      <c r="AR25" s="578">
        <f t="shared" si="63"/>
        <v>0</v>
      </c>
      <c r="AS25" s="578">
        <f t="shared" si="36"/>
        <v>0</v>
      </c>
      <c r="AT25" s="569" t="s">
        <v>17</v>
      </c>
      <c r="AU25" s="579"/>
      <c r="AV25" s="580">
        <f t="shared" si="7"/>
        <v>0</v>
      </c>
      <c r="AW25" s="581"/>
      <c r="AX25" s="580">
        <f t="shared" si="8"/>
        <v>0</v>
      </c>
      <c r="AY25" s="582">
        <f t="shared" si="9"/>
        <v>0</v>
      </c>
      <c r="AZ25" s="583">
        <f t="shared" si="37"/>
        <v>0</v>
      </c>
      <c r="BA25" s="584">
        <f t="shared" si="10"/>
        <v>0</v>
      </c>
      <c r="BB25" s="473" t="s">
        <v>74</v>
      </c>
      <c r="BC25" s="524">
        <f t="shared" si="38"/>
        <v>0</v>
      </c>
      <c r="BD25" s="675">
        <f t="shared" si="11"/>
        <v>0</v>
      </c>
      <c r="BE25" s="469">
        <f t="shared" si="12"/>
        <v>0</v>
      </c>
      <c r="BF25" s="470">
        <f t="shared" si="13"/>
        <v>0</v>
      </c>
      <c r="BG25" s="469">
        <f t="shared" si="14"/>
        <v>0</v>
      </c>
      <c r="BH25" s="742" t="str">
        <f>+IF(D25="Seleccione","",VLOOKUP(D25,'Datos Instalaciones'!$E$15:$F$34,2,FALSE))</f>
        <v/>
      </c>
      <c r="BI25" s="742">
        <f t="shared" si="39"/>
        <v>1</v>
      </c>
      <c r="BJ25" s="706" t="s">
        <v>17</v>
      </c>
      <c r="BK25" s="372">
        <f t="shared" si="40"/>
        <v>1</v>
      </c>
      <c r="BL25" s="669" t="str">
        <f t="shared" si="54"/>
        <v>Seleccione</v>
      </c>
      <c r="BM25" s="670">
        <f t="shared" si="15"/>
        <v>1</v>
      </c>
      <c r="BN25" s="669" t="str">
        <f t="shared" si="41"/>
        <v>No</v>
      </c>
      <c r="BO25" s="670">
        <f t="shared" si="16"/>
        <v>1</v>
      </c>
      <c r="BP25" s="669" t="str">
        <f t="shared" si="55"/>
        <v>Seleccione</v>
      </c>
      <c r="BQ25" s="671">
        <f>+IF('Datos Instalaciones'!$D$12="Residencial",MMEE!$BQ$37,1)</f>
        <v>1</v>
      </c>
      <c r="BR25" s="708" t="s">
        <v>17</v>
      </c>
      <c r="BS25" s="372">
        <f t="shared" si="17"/>
        <v>1</v>
      </c>
      <c r="BT25" s="706" t="s">
        <v>17</v>
      </c>
      <c r="BU25" s="372">
        <f t="shared" si="18"/>
        <v>1</v>
      </c>
      <c r="BV25" s="706" t="s">
        <v>17</v>
      </c>
      <c r="BW25" s="372">
        <f t="shared" si="19"/>
        <v>1</v>
      </c>
      <c r="BX25" s="481">
        <v>1</v>
      </c>
      <c r="BY25" s="670">
        <f t="shared" si="56"/>
        <v>1</v>
      </c>
      <c r="BZ25" s="670">
        <f t="shared" si="57"/>
        <v>1</v>
      </c>
      <c r="CA25" s="670">
        <f t="shared" si="58"/>
        <v>1</v>
      </c>
      <c r="CB25" s="670">
        <f t="shared" si="59"/>
        <v>1</v>
      </c>
      <c r="CC25" s="670">
        <f t="shared" si="60"/>
        <v>1</v>
      </c>
      <c r="CD25" s="670">
        <f t="shared" si="61"/>
        <v>1</v>
      </c>
      <c r="CE25" s="670">
        <f t="shared" si="62"/>
        <v>1</v>
      </c>
      <c r="CF25" s="485" t="s">
        <v>17</v>
      </c>
      <c r="CG25" s="486">
        <f t="shared" si="20"/>
        <v>1</v>
      </c>
      <c r="CH25" s="494">
        <v>1</v>
      </c>
      <c r="CI25" s="429">
        <f t="shared" si="43"/>
        <v>1</v>
      </c>
      <c r="CJ25" s="372">
        <f t="shared" si="44"/>
        <v>1</v>
      </c>
      <c r="CK25" s="498">
        <f t="shared" si="45"/>
        <v>0</v>
      </c>
      <c r="CL25" s="376">
        <f t="shared" si="46"/>
        <v>0</v>
      </c>
      <c r="CM25" s="498" t="e">
        <f t="shared" si="47"/>
        <v>#VALUE!</v>
      </c>
      <c r="CN25" s="376" t="e">
        <f t="shared" si="48"/>
        <v>#VALUE!</v>
      </c>
      <c r="CO25" s="500" t="e">
        <f t="shared" si="49"/>
        <v>#VALUE!</v>
      </c>
      <c r="CP25" s="373" t="e">
        <f t="shared" si="50"/>
        <v>#VALUE!</v>
      </c>
      <c r="CQ25" s="505">
        <f t="shared" si="51"/>
        <v>0</v>
      </c>
      <c r="CR25" s="505">
        <f t="shared" si="21"/>
        <v>0</v>
      </c>
      <c r="CS25" s="800"/>
      <c r="CT25" s="793"/>
    </row>
    <row r="26" spans="2:98" s="9" customFormat="1" ht="45" customHeight="1" thickBot="1" x14ac:dyDescent="0.3">
      <c r="B26" s="664">
        <f t="shared" si="52"/>
        <v>0</v>
      </c>
      <c r="C26" s="664">
        <f t="shared" si="53"/>
        <v>0</v>
      </c>
      <c r="D26" s="367" t="s">
        <v>17</v>
      </c>
      <c r="E26" s="663" t="str">
        <f>IF(D26="Seleccione","",VLOOKUP(MMEE!D26,'Datos Instalaciones'!$E$15:$AD$34,24,))</f>
        <v/>
      </c>
      <c r="F26" s="366">
        <v>17</v>
      </c>
      <c r="G26" s="663" t="s">
        <v>452</v>
      </c>
      <c r="H26" s="367" t="s">
        <v>17</v>
      </c>
      <c r="I26" s="507">
        <f t="shared" si="22"/>
        <v>0</v>
      </c>
      <c r="J26" s="375"/>
      <c r="K26" s="691"/>
      <c r="L26" s="467" t="str">
        <f t="shared" si="23"/>
        <v>Seleccione</v>
      </c>
      <c r="M26" s="467" t="str">
        <f t="shared" si="24"/>
        <v>Seleccione</v>
      </c>
      <c r="N26" s="370"/>
      <c r="O26" s="662" t="str">
        <f t="shared" si="64"/>
        <v/>
      </c>
      <c r="P26" s="703" t="s">
        <v>17</v>
      </c>
      <c r="Q26" s="519" t="s">
        <v>74</v>
      </c>
      <c r="R26" s="438" t="s">
        <v>17</v>
      </c>
      <c r="S26" s="522"/>
      <c r="T26" s="374"/>
      <c r="U26" s="474" t="s">
        <v>82</v>
      </c>
      <c r="V26" s="563" t="str">
        <f t="shared" si="1"/>
        <v>Seleccione</v>
      </c>
      <c r="W26" s="564">
        <f t="shared" si="25"/>
        <v>0</v>
      </c>
      <c r="X26" s="565">
        <f t="shared" si="26"/>
        <v>0</v>
      </c>
      <c r="Y26" s="565">
        <f>+IF($H26=$H$37,$K26*Calculadores!$B$9,IF($H26=$H$38,IF('Datos Instalaciones'!D28="Residencial",$J26*$K26*Calculadores!$B$32*365*24,$J26*$K26*Calculadores!$B$32*365*24*0.7),IF($H26=$H$39,$K26*Calculadores!$B$55,IF($H26=$H$40,$K26*Calculadores!$B$76,IF($H26=$H$41,($K26/Calculadores!$B$96)*$J26*Calculadores!$B$100,IF($H26=$H$42,$J26/Calculadores!$B$124/1000*$K26*Calculadores!$B$125*5*52,IF($H26=$H$43,$J26/Calculadores!$H$124/1000*$K26*Calculadores!$H$125*5*52,IF($H26=$H$44,$J26*$K26*Calculadores!$B$151*Calculadores!$B$153,IF($H26=$H$45,$J26*$K26*Calculadores!$B$180*Calculadores!$B$178,IF($H26=$H$46,$J26*$K26*Calculadores!$B$207*Calculadores!$B$205,IF($H26=$H$47,$J26*$K26*Calculadores!$B$235*Calculadores!$B$233,0)))))))))))</f>
        <v>0</v>
      </c>
      <c r="Z26" s="563">
        <f t="shared" si="27"/>
        <v>0</v>
      </c>
      <c r="AA26" s="566">
        <f t="shared" si="28"/>
        <v>0</v>
      </c>
      <c r="AB26" s="567">
        <f t="shared" si="29"/>
        <v>0</v>
      </c>
      <c r="AC26" s="568">
        <f t="shared" si="30"/>
        <v>0</v>
      </c>
      <c r="AD26" s="569" t="s">
        <v>17</v>
      </c>
      <c r="AE26" s="570"/>
      <c r="AF26" s="571">
        <f t="shared" si="2"/>
        <v>0</v>
      </c>
      <c r="AG26" s="572"/>
      <c r="AH26" s="571">
        <f t="shared" si="3"/>
        <v>0</v>
      </c>
      <c r="AI26" s="573">
        <f t="shared" si="4"/>
        <v>0</v>
      </c>
      <c r="AJ26" s="574">
        <f t="shared" si="31"/>
        <v>0</v>
      </c>
      <c r="AK26" s="574">
        <f t="shared" si="5"/>
        <v>0</v>
      </c>
      <c r="AL26" s="575" t="str">
        <f t="shared" si="32"/>
        <v>Seleccione</v>
      </c>
      <c r="AM26" s="647">
        <f t="shared" si="33"/>
        <v>0</v>
      </c>
      <c r="AN26" s="647">
        <f t="shared" si="34"/>
        <v>0</v>
      </c>
      <c r="AO26" s="576">
        <f>+IF($H26=$H$37,$K26*Calculadores!$B$10,IF($H26=$H$38,$J26*$K26*Calculadores!$B$35*365*24,IF($H26=$H$39,$K26*Calculadores!$B$57,IF($H26=$H$40,$K26*Calculadores!$B$77,IF($H26=$H$41,$K26*Calculadores!$B$103*$J26/Calculadores!$B$96,IF($H26=$H$42,$J26/1000*$K26*Calculadores!$B$125*5*52,IF($H26=$H$43,$J26/1000*$K26*Calculadores!$H$125*5*52,IF($H26=$H$44,$J26*$K26*Calculadores!$B$153*Calculadores!$B$152,IF($H26=$H$45,$J26*$K26*Calculadores!$B$180*Calculadores!$B$179,IF($H26=$H$46,$J26*$K26*Calculadores!$B$207*Calculadores!$B$206,IF($H26=$H$47,$J26*$K26*Calculadores!$B$235*Calculadores!$B$234,0)))))))))))</f>
        <v>0</v>
      </c>
      <c r="AP26" s="647">
        <f t="shared" si="35"/>
        <v>0</v>
      </c>
      <c r="AQ26" s="577">
        <f t="shared" si="6"/>
        <v>0</v>
      </c>
      <c r="AR26" s="578">
        <f t="shared" si="63"/>
        <v>0</v>
      </c>
      <c r="AS26" s="578">
        <f t="shared" si="36"/>
        <v>0</v>
      </c>
      <c r="AT26" s="569" t="s">
        <v>17</v>
      </c>
      <c r="AU26" s="579"/>
      <c r="AV26" s="580">
        <f t="shared" si="7"/>
        <v>0</v>
      </c>
      <c r="AW26" s="581"/>
      <c r="AX26" s="580">
        <f t="shared" si="8"/>
        <v>0</v>
      </c>
      <c r="AY26" s="582">
        <f t="shared" si="9"/>
        <v>0</v>
      </c>
      <c r="AZ26" s="583">
        <f t="shared" si="37"/>
        <v>0</v>
      </c>
      <c r="BA26" s="584">
        <f t="shared" si="10"/>
        <v>0</v>
      </c>
      <c r="BB26" s="473" t="s">
        <v>74</v>
      </c>
      <c r="BC26" s="524">
        <f t="shared" si="38"/>
        <v>0</v>
      </c>
      <c r="BD26" s="675">
        <f t="shared" si="11"/>
        <v>0</v>
      </c>
      <c r="BE26" s="469">
        <f t="shared" si="12"/>
        <v>0</v>
      </c>
      <c r="BF26" s="470">
        <f t="shared" si="13"/>
        <v>0</v>
      </c>
      <c r="BG26" s="469">
        <f t="shared" si="14"/>
        <v>0</v>
      </c>
      <c r="BH26" s="742" t="str">
        <f>+IF(D26="Seleccione","",VLOOKUP(D26,'Datos Instalaciones'!$E$15:$F$34,2,FALSE))</f>
        <v/>
      </c>
      <c r="BI26" s="742">
        <f t="shared" si="39"/>
        <v>1</v>
      </c>
      <c r="BJ26" s="706" t="s">
        <v>17</v>
      </c>
      <c r="BK26" s="372">
        <f t="shared" si="40"/>
        <v>1</v>
      </c>
      <c r="BL26" s="669" t="str">
        <f t="shared" si="54"/>
        <v>Seleccione</v>
      </c>
      <c r="BM26" s="670">
        <f t="shared" si="15"/>
        <v>1</v>
      </c>
      <c r="BN26" s="669" t="str">
        <f t="shared" si="41"/>
        <v>No</v>
      </c>
      <c r="BO26" s="670">
        <f t="shared" si="16"/>
        <v>1</v>
      </c>
      <c r="BP26" s="669" t="str">
        <f t="shared" si="55"/>
        <v>Seleccione</v>
      </c>
      <c r="BQ26" s="671">
        <f>+IF('Datos Instalaciones'!$D$12="Residencial",MMEE!$BQ$37,1)</f>
        <v>1</v>
      </c>
      <c r="BR26" s="708" t="s">
        <v>17</v>
      </c>
      <c r="BS26" s="372">
        <f t="shared" si="17"/>
        <v>1</v>
      </c>
      <c r="BT26" s="706" t="s">
        <v>17</v>
      </c>
      <c r="BU26" s="372">
        <f t="shared" si="18"/>
        <v>1</v>
      </c>
      <c r="BV26" s="706" t="s">
        <v>17</v>
      </c>
      <c r="BW26" s="372">
        <f t="shared" si="19"/>
        <v>1</v>
      </c>
      <c r="BX26" s="481">
        <v>1</v>
      </c>
      <c r="BY26" s="670">
        <f t="shared" si="56"/>
        <v>1</v>
      </c>
      <c r="BZ26" s="670">
        <f t="shared" si="57"/>
        <v>1</v>
      </c>
      <c r="CA26" s="670">
        <f t="shared" si="58"/>
        <v>1</v>
      </c>
      <c r="CB26" s="670">
        <f t="shared" si="59"/>
        <v>1</v>
      </c>
      <c r="CC26" s="670">
        <f t="shared" si="60"/>
        <v>1</v>
      </c>
      <c r="CD26" s="670">
        <f t="shared" si="61"/>
        <v>1</v>
      </c>
      <c r="CE26" s="670">
        <f t="shared" si="62"/>
        <v>1</v>
      </c>
      <c r="CF26" s="485" t="s">
        <v>17</v>
      </c>
      <c r="CG26" s="486">
        <f t="shared" si="20"/>
        <v>1</v>
      </c>
      <c r="CH26" s="494">
        <v>1</v>
      </c>
      <c r="CI26" s="429">
        <f t="shared" si="43"/>
        <v>1</v>
      </c>
      <c r="CJ26" s="372">
        <f t="shared" si="44"/>
        <v>1</v>
      </c>
      <c r="CK26" s="498">
        <f t="shared" si="45"/>
        <v>0</v>
      </c>
      <c r="CL26" s="376">
        <f t="shared" si="46"/>
        <v>0</v>
      </c>
      <c r="CM26" s="498" t="e">
        <f t="shared" si="47"/>
        <v>#VALUE!</v>
      </c>
      <c r="CN26" s="376" t="e">
        <f t="shared" si="48"/>
        <v>#VALUE!</v>
      </c>
      <c r="CO26" s="500" t="e">
        <f t="shared" si="49"/>
        <v>#VALUE!</v>
      </c>
      <c r="CP26" s="373" t="e">
        <f t="shared" si="50"/>
        <v>#VALUE!</v>
      </c>
      <c r="CQ26" s="505">
        <f t="shared" si="51"/>
        <v>0</v>
      </c>
      <c r="CR26" s="505">
        <f t="shared" si="21"/>
        <v>0</v>
      </c>
      <c r="CS26" s="800"/>
      <c r="CT26" s="793"/>
    </row>
    <row r="27" spans="2:98" s="9" customFormat="1" ht="45" customHeight="1" thickBot="1" x14ac:dyDescent="0.3">
      <c r="B27" s="664">
        <f t="shared" si="52"/>
        <v>0</v>
      </c>
      <c r="C27" s="664">
        <f t="shared" si="53"/>
        <v>0</v>
      </c>
      <c r="D27" s="367" t="s">
        <v>17</v>
      </c>
      <c r="E27" s="663" t="str">
        <f>IF(D27="Seleccione","",VLOOKUP(MMEE!D27,'Datos Instalaciones'!$E$15:$AD$34,24,))</f>
        <v/>
      </c>
      <c r="F27" s="366">
        <v>18</v>
      </c>
      <c r="G27" s="663" t="s">
        <v>452</v>
      </c>
      <c r="H27" s="367" t="s">
        <v>17</v>
      </c>
      <c r="I27" s="507">
        <f t="shared" si="22"/>
        <v>0</v>
      </c>
      <c r="J27" s="375"/>
      <c r="K27" s="691"/>
      <c r="L27" s="467" t="str">
        <f t="shared" si="23"/>
        <v>Seleccione</v>
      </c>
      <c r="M27" s="467" t="str">
        <f t="shared" si="24"/>
        <v>Seleccione</v>
      </c>
      <c r="N27" s="370"/>
      <c r="O27" s="662" t="str">
        <f t="shared" si="64"/>
        <v/>
      </c>
      <c r="P27" s="703" t="s">
        <v>17</v>
      </c>
      <c r="Q27" s="519" t="s">
        <v>74</v>
      </c>
      <c r="R27" s="438" t="s">
        <v>17</v>
      </c>
      <c r="S27" s="522"/>
      <c r="T27" s="374"/>
      <c r="U27" s="474" t="s">
        <v>82</v>
      </c>
      <c r="V27" s="563" t="str">
        <f t="shared" si="1"/>
        <v>Seleccione</v>
      </c>
      <c r="W27" s="564">
        <f t="shared" si="25"/>
        <v>0</v>
      </c>
      <c r="X27" s="565">
        <f t="shared" si="26"/>
        <v>0</v>
      </c>
      <c r="Y27" s="565">
        <f>+IF($H27=$H$37,$K27*Calculadores!$B$9,IF($H27=$H$38,IF('Datos Instalaciones'!D29="Residencial",$J27*$K27*Calculadores!$B$32*365*24,$J27*$K27*Calculadores!$B$32*365*24*0.7),IF($H27=$H$39,$K27*Calculadores!$B$55,IF($H27=$H$40,$K27*Calculadores!$B$76,IF($H27=$H$41,($K27/Calculadores!$B$96)*$J27*Calculadores!$B$100,IF($H27=$H$42,$J27/Calculadores!$B$124/1000*$K27*Calculadores!$B$125*5*52,IF($H27=$H$43,$J27/Calculadores!$H$124/1000*$K27*Calculadores!$H$125*5*52,IF($H27=$H$44,$J27*$K27*Calculadores!$B$151*Calculadores!$B$153,IF($H27=$H$45,$J27*$K27*Calculadores!$B$180*Calculadores!$B$178,IF($H27=$H$46,$J27*$K27*Calculadores!$B$207*Calculadores!$B$205,IF($H27=$H$47,$J27*$K27*Calculadores!$B$235*Calculadores!$B$233,0)))))))))))</f>
        <v>0</v>
      </c>
      <c r="Z27" s="563">
        <f t="shared" si="27"/>
        <v>0</v>
      </c>
      <c r="AA27" s="566">
        <f t="shared" si="28"/>
        <v>0</v>
      </c>
      <c r="AB27" s="567">
        <f t="shared" si="29"/>
        <v>0</v>
      </c>
      <c r="AC27" s="568">
        <f t="shared" si="30"/>
        <v>0</v>
      </c>
      <c r="AD27" s="569" t="s">
        <v>17</v>
      </c>
      <c r="AE27" s="570"/>
      <c r="AF27" s="571">
        <f t="shared" si="2"/>
        <v>0</v>
      </c>
      <c r="AG27" s="572"/>
      <c r="AH27" s="571">
        <f t="shared" si="3"/>
        <v>0</v>
      </c>
      <c r="AI27" s="573">
        <f t="shared" si="4"/>
        <v>0</v>
      </c>
      <c r="AJ27" s="574">
        <f t="shared" si="31"/>
        <v>0</v>
      </c>
      <c r="AK27" s="574">
        <f t="shared" si="5"/>
        <v>0</v>
      </c>
      <c r="AL27" s="575" t="str">
        <f t="shared" si="32"/>
        <v>Seleccione</v>
      </c>
      <c r="AM27" s="647">
        <f t="shared" si="33"/>
        <v>0</v>
      </c>
      <c r="AN27" s="647">
        <f t="shared" si="34"/>
        <v>0</v>
      </c>
      <c r="AO27" s="576">
        <f>+IF($H27=$H$37,$K27*Calculadores!$B$10,IF($H27=$H$38,$J27*$K27*Calculadores!$B$35*365*24,IF($H27=$H$39,$K27*Calculadores!$B$57,IF($H27=$H$40,$K27*Calculadores!$B$77,IF($H27=$H$41,$K27*Calculadores!$B$103*$J27/Calculadores!$B$96,IF($H27=$H$42,$J27/1000*$K27*Calculadores!$B$125*5*52,IF($H27=$H$43,$J27/1000*$K27*Calculadores!$H$125*5*52,IF($H27=$H$44,$J27*$K27*Calculadores!$B$153*Calculadores!$B$152,IF($H27=$H$45,$J27*$K27*Calculadores!$B$180*Calculadores!$B$179,IF($H27=$H$46,$J27*$K27*Calculadores!$B$207*Calculadores!$B$206,IF($H27=$H$47,$J27*$K27*Calculadores!$B$235*Calculadores!$B$234,0)))))))))))</f>
        <v>0</v>
      </c>
      <c r="AP27" s="647">
        <f t="shared" si="35"/>
        <v>0</v>
      </c>
      <c r="AQ27" s="577">
        <f t="shared" si="6"/>
        <v>0</v>
      </c>
      <c r="AR27" s="578">
        <f t="shared" si="63"/>
        <v>0</v>
      </c>
      <c r="AS27" s="578">
        <f t="shared" si="36"/>
        <v>0</v>
      </c>
      <c r="AT27" s="569" t="s">
        <v>17</v>
      </c>
      <c r="AU27" s="579"/>
      <c r="AV27" s="580">
        <f t="shared" si="7"/>
        <v>0</v>
      </c>
      <c r="AW27" s="581"/>
      <c r="AX27" s="580">
        <f t="shared" si="8"/>
        <v>0</v>
      </c>
      <c r="AY27" s="582">
        <f t="shared" si="9"/>
        <v>0</v>
      </c>
      <c r="AZ27" s="583">
        <f t="shared" si="37"/>
        <v>0</v>
      </c>
      <c r="BA27" s="584">
        <f t="shared" si="10"/>
        <v>0</v>
      </c>
      <c r="BB27" s="473" t="s">
        <v>74</v>
      </c>
      <c r="BC27" s="524">
        <f t="shared" si="38"/>
        <v>0</v>
      </c>
      <c r="BD27" s="675">
        <f t="shared" si="11"/>
        <v>0</v>
      </c>
      <c r="BE27" s="469">
        <f t="shared" si="12"/>
        <v>0</v>
      </c>
      <c r="BF27" s="470">
        <f t="shared" si="13"/>
        <v>0</v>
      </c>
      <c r="BG27" s="469">
        <f t="shared" si="14"/>
        <v>0</v>
      </c>
      <c r="BH27" s="742" t="str">
        <f>+IF(D27="Seleccione","",VLOOKUP(D27,'Datos Instalaciones'!$E$15:$F$34,2,FALSE))</f>
        <v/>
      </c>
      <c r="BI27" s="742">
        <f t="shared" si="39"/>
        <v>1</v>
      </c>
      <c r="BJ27" s="706" t="s">
        <v>17</v>
      </c>
      <c r="BK27" s="372">
        <f t="shared" si="40"/>
        <v>1</v>
      </c>
      <c r="BL27" s="669" t="str">
        <f t="shared" si="54"/>
        <v>Seleccione</v>
      </c>
      <c r="BM27" s="670">
        <f t="shared" si="15"/>
        <v>1</v>
      </c>
      <c r="BN27" s="669" t="str">
        <f t="shared" si="41"/>
        <v>No</v>
      </c>
      <c r="BO27" s="670">
        <f t="shared" si="16"/>
        <v>1</v>
      </c>
      <c r="BP27" s="669" t="str">
        <f t="shared" si="55"/>
        <v>Seleccione</v>
      </c>
      <c r="BQ27" s="671">
        <f>+IF('Datos Instalaciones'!$D$12="Residencial",MMEE!$BQ$37,1)</f>
        <v>1</v>
      </c>
      <c r="BR27" s="708" t="s">
        <v>17</v>
      </c>
      <c r="BS27" s="372">
        <f t="shared" si="17"/>
        <v>1</v>
      </c>
      <c r="BT27" s="706" t="s">
        <v>17</v>
      </c>
      <c r="BU27" s="372">
        <f t="shared" si="18"/>
        <v>1</v>
      </c>
      <c r="BV27" s="706" t="s">
        <v>17</v>
      </c>
      <c r="BW27" s="372">
        <f t="shared" si="19"/>
        <v>1</v>
      </c>
      <c r="BX27" s="481">
        <v>1</v>
      </c>
      <c r="BY27" s="670">
        <f t="shared" si="56"/>
        <v>1</v>
      </c>
      <c r="BZ27" s="670">
        <f t="shared" si="57"/>
        <v>1</v>
      </c>
      <c r="CA27" s="670">
        <f t="shared" si="58"/>
        <v>1</v>
      </c>
      <c r="CB27" s="670">
        <f t="shared" si="59"/>
        <v>1</v>
      </c>
      <c r="CC27" s="670">
        <f t="shared" si="60"/>
        <v>1</v>
      </c>
      <c r="CD27" s="670">
        <f t="shared" si="61"/>
        <v>1</v>
      </c>
      <c r="CE27" s="670">
        <f t="shared" si="62"/>
        <v>1</v>
      </c>
      <c r="CF27" s="485" t="s">
        <v>17</v>
      </c>
      <c r="CG27" s="486">
        <f t="shared" si="20"/>
        <v>1</v>
      </c>
      <c r="CH27" s="494">
        <v>1</v>
      </c>
      <c r="CI27" s="429">
        <f t="shared" si="43"/>
        <v>1</v>
      </c>
      <c r="CJ27" s="372">
        <f t="shared" si="44"/>
        <v>1</v>
      </c>
      <c r="CK27" s="498">
        <f t="shared" si="45"/>
        <v>0</v>
      </c>
      <c r="CL27" s="376">
        <f t="shared" si="46"/>
        <v>0</v>
      </c>
      <c r="CM27" s="498" t="e">
        <f t="shared" si="47"/>
        <v>#VALUE!</v>
      </c>
      <c r="CN27" s="376" t="e">
        <f t="shared" si="48"/>
        <v>#VALUE!</v>
      </c>
      <c r="CO27" s="500" t="e">
        <f t="shared" si="49"/>
        <v>#VALUE!</v>
      </c>
      <c r="CP27" s="373" t="e">
        <f t="shared" si="50"/>
        <v>#VALUE!</v>
      </c>
      <c r="CQ27" s="505">
        <f t="shared" si="51"/>
        <v>0</v>
      </c>
      <c r="CR27" s="505">
        <f t="shared" si="21"/>
        <v>0</v>
      </c>
      <c r="CS27" s="800"/>
      <c r="CT27" s="793"/>
    </row>
    <row r="28" spans="2:98" s="9" customFormat="1" ht="45" customHeight="1" thickBot="1" x14ac:dyDescent="0.3">
      <c r="B28" s="664">
        <f t="shared" si="52"/>
        <v>0</v>
      </c>
      <c r="C28" s="664">
        <f t="shared" si="53"/>
        <v>0</v>
      </c>
      <c r="D28" s="367" t="s">
        <v>17</v>
      </c>
      <c r="E28" s="663" t="str">
        <f>IF(D28="Seleccione","",VLOOKUP(MMEE!D28,'Datos Instalaciones'!$E$15:$AD$34,24,))</f>
        <v/>
      </c>
      <c r="F28" s="366">
        <v>19</v>
      </c>
      <c r="G28" s="663" t="s">
        <v>452</v>
      </c>
      <c r="H28" s="367" t="s">
        <v>17</v>
      </c>
      <c r="I28" s="507">
        <f t="shared" si="22"/>
        <v>0</v>
      </c>
      <c r="J28" s="375"/>
      <c r="K28" s="691"/>
      <c r="L28" s="467" t="str">
        <f t="shared" si="23"/>
        <v>Seleccione</v>
      </c>
      <c r="M28" s="467" t="str">
        <f t="shared" si="24"/>
        <v>Seleccione</v>
      </c>
      <c r="N28" s="370"/>
      <c r="O28" s="662" t="str">
        <f t="shared" si="64"/>
        <v/>
      </c>
      <c r="P28" s="704" t="s">
        <v>17</v>
      </c>
      <c r="Q28" s="519" t="s">
        <v>74</v>
      </c>
      <c r="R28" s="438" t="s">
        <v>17</v>
      </c>
      <c r="S28" s="522"/>
      <c r="T28" s="374"/>
      <c r="U28" s="474" t="s">
        <v>82</v>
      </c>
      <c r="V28" s="563" t="str">
        <f t="shared" si="1"/>
        <v>Seleccione</v>
      </c>
      <c r="W28" s="564">
        <f t="shared" si="25"/>
        <v>0</v>
      </c>
      <c r="X28" s="565">
        <f t="shared" si="26"/>
        <v>0</v>
      </c>
      <c r="Y28" s="565">
        <f>+IF($H28=$H$37,$K28*Calculadores!$B$9,IF($H28=$H$38,IF('Datos Instalaciones'!D30="Residencial",$J28*$K28*Calculadores!$B$32*365*24,$J28*$K28*Calculadores!$B$32*365*24*0.7),IF($H28=$H$39,$K28*Calculadores!$B$55,IF($H28=$H$40,$K28*Calculadores!$B$76,IF($H28=$H$41,($K28/Calculadores!$B$96)*$J28*Calculadores!$B$100,IF($H28=$H$42,$J28/Calculadores!$B$124/1000*$K28*Calculadores!$B$125*5*52,IF($H28=$H$43,$J28/Calculadores!$H$124/1000*$K28*Calculadores!$H$125*5*52,IF($H28=$H$44,$J28*$K28*Calculadores!$B$151*Calculadores!$B$153,IF($H28=$H$45,$J28*$K28*Calculadores!$B$180*Calculadores!$B$178,IF($H28=$H$46,$J28*$K28*Calculadores!$B$207*Calculadores!$B$205,IF($H28=$H$47,$J28*$K28*Calculadores!$B$235*Calculadores!$B$233,0)))))))))))</f>
        <v>0</v>
      </c>
      <c r="Z28" s="563">
        <f t="shared" si="27"/>
        <v>0</v>
      </c>
      <c r="AA28" s="566">
        <f t="shared" si="28"/>
        <v>0</v>
      </c>
      <c r="AB28" s="567">
        <f t="shared" si="29"/>
        <v>0</v>
      </c>
      <c r="AC28" s="568">
        <f t="shared" si="30"/>
        <v>0</v>
      </c>
      <c r="AD28" s="569" t="s">
        <v>17</v>
      </c>
      <c r="AE28" s="570"/>
      <c r="AF28" s="571">
        <f t="shared" si="2"/>
        <v>0</v>
      </c>
      <c r="AG28" s="572"/>
      <c r="AH28" s="571">
        <f t="shared" si="3"/>
        <v>0</v>
      </c>
      <c r="AI28" s="573">
        <f t="shared" si="4"/>
        <v>0</v>
      </c>
      <c r="AJ28" s="574">
        <f t="shared" ref="AJ28" si="65">+AE28*AG28</f>
        <v>0</v>
      </c>
      <c r="AK28" s="574">
        <f t="shared" si="5"/>
        <v>0</v>
      </c>
      <c r="AL28" s="575" t="str">
        <f t="shared" si="32"/>
        <v>Seleccione</v>
      </c>
      <c r="AM28" s="647">
        <f t="shared" si="33"/>
        <v>0</v>
      </c>
      <c r="AN28" s="647">
        <f t="shared" si="34"/>
        <v>0</v>
      </c>
      <c r="AO28" s="576">
        <f>+IF($H28=$H$37,$K28*Calculadores!$B$10,IF($H28=$H$38,$J28*$K28*Calculadores!$B$35*365*24,IF($H28=$H$39,$K28*Calculadores!$B$57,IF($H28=$H$40,$K28*Calculadores!$B$77,IF($H28=$H$41,$K28*Calculadores!$B$103*$J28/Calculadores!$B$96,IF($H28=$H$42,$J28/1000*$K28*Calculadores!$B$125*5*52,IF($H28=$H$43,$J28/1000*$K28*Calculadores!$H$125*5*52,IF($H28=$H$44,$J28*$K28*Calculadores!$B$153*Calculadores!$B$152,IF($H28=$H$45,$J28*$K28*Calculadores!$B$180*Calculadores!$B$179,IF($H28=$H$46,$J28*$K28*Calculadores!$B$207*Calculadores!$B$206,IF($H28=$H$47,$J28*$K28*Calculadores!$B$235*Calculadores!$B$234,0)))))))))))</f>
        <v>0</v>
      </c>
      <c r="AP28" s="647">
        <f t="shared" si="35"/>
        <v>0</v>
      </c>
      <c r="AQ28" s="577">
        <f t="shared" si="6"/>
        <v>0</v>
      </c>
      <c r="AR28" s="578">
        <f t="shared" ref="AR28" si="66">+AM28*AO28</f>
        <v>0</v>
      </c>
      <c r="AS28" s="578">
        <f t="shared" si="36"/>
        <v>0</v>
      </c>
      <c r="AT28" s="569" t="s">
        <v>17</v>
      </c>
      <c r="AU28" s="579"/>
      <c r="AV28" s="580">
        <f t="shared" si="7"/>
        <v>0</v>
      </c>
      <c r="AW28" s="581"/>
      <c r="AX28" s="580">
        <f t="shared" si="8"/>
        <v>0</v>
      </c>
      <c r="AY28" s="582">
        <f t="shared" si="9"/>
        <v>0</v>
      </c>
      <c r="AZ28" s="583">
        <f t="shared" ref="AZ28" si="67">+AU28*AW28</f>
        <v>0</v>
      </c>
      <c r="BA28" s="584">
        <f t="shared" si="10"/>
        <v>0</v>
      </c>
      <c r="BB28" s="473" t="s">
        <v>74</v>
      </c>
      <c r="BC28" s="524">
        <f t="shared" ref="BC28" si="68">+(AA28+AI28)-(AQ28+AY28)</f>
        <v>0</v>
      </c>
      <c r="BD28" s="675">
        <f t="shared" si="11"/>
        <v>0</v>
      </c>
      <c r="BE28" s="469">
        <f t="shared" ref="BE28" si="69">(AB28+AJ28)-(AR28+AZ28)</f>
        <v>0</v>
      </c>
      <c r="BF28" s="470">
        <f t="shared" si="13"/>
        <v>0</v>
      </c>
      <c r="BG28" s="469">
        <f t="shared" ref="BG28" si="70">+(AC28+AK28)-(AS28+BA28)</f>
        <v>0</v>
      </c>
      <c r="BH28" s="742" t="str">
        <f>+IF(D28="Seleccione","",VLOOKUP(D28,'Datos Instalaciones'!$E$15:$F$34,2,FALSE))</f>
        <v/>
      </c>
      <c r="BI28" s="742">
        <f t="shared" si="39"/>
        <v>1</v>
      </c>
      <c r="BJ28" s="706" t="s">
        <v>17</v>
      </c>
      <c r="BK28" s="372">
        <f t="shared" si="40"/>
        <v>1</v>
      </c>
      <c r="BL28" s="669" t="str">
        <f t="shared" si="54"/>
        <v>Seleccione</v>
      </c>
      <c r="BM28" s="670">
        <f t="shared" si="15"/>
        <v>1</v>
      </c>
      <c r="BN28" s="669" t="str">
        <f t="shared" si="41"/>
        <v>No</v>
      </c>
      <c r="BO28" s="670">
        <f t="shared" si="16"/>
        <v>1</v>
      </c>
      <c r="BP28" s="669" t="str">
        <f t="shared" si="55"/>
        <v>Seleccione</v>
      </c>
      <c r="BQ28" s="671">
        <f>+IF('Datos Instalaciones'!$D$12="Residencial",MMEE!$BQ$37,1)</f>
        <v>1</v>
      </c>
      <c r="BR28" s="708" t="s">
        <v>17</v>
      </c>
      <c r="BS28" s="372">
        <f t="shared" si="17"/>
        <v>1</v>
      </c>
      <c r="BT28" s="706" t="s">
        <v>17</v>
      </c>
      <c r="BU28" s="372">
        <f t="shared" si="18"/>
        <v>1</v>
      </c>
      <c r="BV28" s="706" t="s">
        <v>17</v>
      </c>
      <c r="BW28" s="372">
        <f t="shared" si="19"/>
        <v>1</v>
      </c>
      <c r="BX28" s="481">
        <v>1</v>
      </c>
      <c r="BY28" s="670">
        <f t="shared" si="56"/>
        <v>1</v>
      </c>
      <c r="BZ28" s="670">
        <f t="shared" si="57"/>
        <v>1</v>
      </c>
      <c r="CA28" s="670">
        <f t="shared" si="58"/>
        <v>1</v>
      </c>
      <c r="CB28" s="670">
        <f t="shared" si="59"/>
        <v>1</v>
      </c>
      <c r="CC28" s="670">
        <f t="shared" si="60"/>
        <v>1</v>
      </c>
      <c r="CD28" s="670">
        <f t="shared" si="61"/>
        <v>1</v>
      </c>
      <c r="CE28" s="670">
        <f t="shared" si="62"/>
        <v>1</v>
      </c>
      <c r="CF28" s="485" t="s">
        <v>17</v>
      </c>
      <c r="CG28" s="486">
        <f t="shared" si="20"/>
        <v>1</v>
      </c>
      <c r="CH28" s="494">
        <v>2</v>
      </c>
      <c r="CI28" s="429">
        <f t="shared" ref="CI28" si="71">+IF(PRODUCT(BI28,BK28,BM28,BO28,BQ28,BS28,BU28,BW28,BX28,CE28,CG28,CH28)&lt;=5,PRODUCT(BI28,BK28,BM28,BO28,BQ28,BS28,BU28,BW28,BX28,CE28,CG28,CH28),5)</f>
        <v>2</v>
      </c>
      <c r="CJ28" s="372">
        <f t="shared" si="44"/>
        <v>2</v>
      </c>
      <c r="CK28" s="498">
        <f t="shared" ref="CK28" si="72">+BC28*CI28</f>
        <v>0</v>
      </c>
      <c r="CL28" s="376">
        <f t="shared" ref="CL28" si="73">+IF(BC28&gt;0,BC28*CJ28,0)</f>
        <v>0</v>
      </c>
      <c r="CM28" s="498" t="e">
        <f t="shared" si="47"/>
        <v>#VALUE!</v>
      </c>
      <c r="CN28" s="376" t="e">
        <f t="shared" si="48"/>
        <v>#VALUE!</v>
      </c>
      <c r="CO28" s="500" t="e">
        <f t="shared" si="49"/>
        <v>#VALUE!</v>
      </c>
      <c r="CP28" s="373" t="e">
        <f t="shared" si="50"/>
        <v>#VALUE!</v>
      </c>
      <c r="CQ28" s="505">
        <f t="shared" si="51"/>
        <v>0</v>
      </c>
      <c r="CR28" s="505">
        <f t="shared" si="21"/>
        <v>0</v>
      </c>
      <c r="CS28" s="800"/>
      <c r="CT28" s="793"/>
    </row>
    <row r="29" spans="2:98" s="9" customFormat="1" ht="45" customHeight="1" thickBot="1" x14ac:dyDescent="0.3">
      <c r="B29" s="664">
        <f>B27</f>
        <v>0</v>
      </c>
      <c r="C29" s="664">
        <f>C27</f>
        <v>0</v>
      </c>
      <c r="D29" s="367" t="s">
        <v>17</v>
      </c>
      <c r="E29" s="663" t="str">
        <f>IF(D29="Seleccione","",VLOOKUP(MMEE!D29,'Datos Instalaciones'!$E$15:$AD$34,24,))</f>
        <v/>
      </c>
      <c r="F29" s="366">
        <v>20</v>
      </c>
      <c r="G29" s="663" t="s">
        <v>452</v>
      </c>
      <c r="H29" s="367" t="s">
        <v>17</v>
      </c>
      <c r="I29" s="507">
        <f t="shared" si="22"/>
        <v>0</v>
      </c>
      <c r="J29" s="377"/>
      <c r="K29" s="694"/>
      <c r="L29" s="467" t="str">
        <f t="shared" si="23"/>
        <v>Seleccione</v>
      </c>
      <c r="M29" s="695" t="str">
        <f t="shared" si="24"/>
        <v>Seleccione</v>
      </c>
      <c r="N29" s="696"/>
      <c r="O29" s="662" t="str">
        <f t="shared" si="64"/>
        <v/>
      </c>
      <c r="P29" s="705" t="s">
        <v>17</v>
      </c>
      <c r="Q29" s="520" t="s">
        <v>74</v>
      </c>
      <c r="R29" s="518" t="s">
        <v>17</v>
      </c>
      <c r="S29" s="523"/>
      <c r="T29" s="378"/>
      <c r="U29" s="474" t="s">
        <v>82</v>
      </c>
      <c r="V29" s="563" t="str">
        <f t="shared" si="1"/>
        <v>Seleccione</v>
      </c>
      <c r="W29" s="564">
        <f t="shared" si="25"/>
        <v>0</v>
      </c>
      <c r="X29" s="565">
        <f t="shared" si="26"/>
        <v>0</v>
      </c>
      <c r="Y29" s="565">
        <f>+IF($H29=$H$37,$K29*Calculadores!$B$9,IF($H29=$H$38,IF('Datos Instalaciones'!D31="Residencial",$J29*$K29*Calculadores!$B$32*365*24,$J29*$K29*Calculadores!$B$32*365*24*0.7),IF($H29=$H$39,$K29*Calculadores!$B$55,IF($H29=$H$40,$K29*Calculadores!$B$76,IF($H29=$H$41,($K29/Calculadores!$B$96)*$J29*Calculadores!$B$100,IF($H29=$H$42,$J29/Calculadores!$B$124/1000*$K29*Calculadores!$B$125*5*52,IF($H29=$H$43,$J29/Calculadores!$H$124/1000*$K29*Calculadores!$H$125*5*52,IF($H29=$H$44,$J29*$K29*Calculadores!$B$151*Calculadores!$B$153,IF($H29=$H$45,$J29*$K29*Calculadores!$B$180*Calculadores!$B$178,IF($H29=$H$46,$J29*$K29*Calculadores!$B$207*Calculadores!$B$205,IF($H29=$H$47,$J29*$K29*Calculadores!$B$235*Calculadores!$B$233,0)))))))))))</f>
        <v>0</v>
      </c>
      <c r="Z29" s="563">
        <f t="shared" si="27"/>
        <v>0</v>
      </c>
      <c r="AA29" s="566">
        <f t="shared" si="28"/>
        <v>0</v>
      </c>
      <c r="AB29" s="567">
        <f t="shared" si="29"/>
        <v>0</v>
      </c>
      <c r="AC29" s="568">
        <f t="shared" si="30"/>
        <v>0</v>
      </c>
      <c r="AD29" s="585" t="s">
        <v>17</v>
      </c>
      <c r="AE29" s="586"/>
      <c r="AF29" s="587">
        <f t="shared" si="2"/>
        <v>0</v>
      </c>
      <c r="AG29" s="588"/>
      <c r="AH29" s="587">
        <f t="shared" si="3"/>
        <v>0</v>
      </c>
      <c r="AI29" s="589">
        <f t="shared" si="4"/>
        <v>0</v>
      </c>
      <c r="AJ29" s="590">
        <f t="shared" si="31"/>
        <v>0</v>
      </c>
      <c r="AK29" s="590">
        <f t="shared" si="5"/>
        <v>0</v>
      </c>
      <c r="AL29" s="575" t="str">
        <f t="shared" si="32"/>
        <v>Seleccione</v>
      </c>
      <c r="AM29" s="647">
        <f t="shared" si="33"/>
        <v>0</v>
      </c>
      <c r="AN29" s="647">
        <f t="shared" si="34"/>
        <v>0</v>
      </c>
      <c r="AO29" s="576">
        <f>+IF($H29=$H$37,$K29*Calculadores!$B$10,IF($H29=$H$38,$J29*$K29*Calculadores!$B$35*365*24,IF($H29=$H$39,$K29*Calculadores!$B$57,IF($H29=$H$40,$K29*Calculadores!$B$77,IF($H29=$H$41,$K29*Calculadores!$B$103*$J29/Calculadores!$B$96,IF($H29=$H$42,$J29/1000*$K29*Calculadores!$B$125*5*52,IF($H29=$H$43,$J29/1000*$K29*Calculadores!$H$125*5*52,IF($H29=$H$44,$J29*$K29*Calculadores!$B$153*Calculadores!$B$152,IF($H29=$H$45,$J29*$K29*Calculadores!$B$180*Calculadores!$B$179,IF($H29=$H$46,$J29*$K29*Calculadores!$B$207*Calculadores!$B$206,IF($H29=$H$47,$J29*$K29*Calculadores!$B$235*Calculadores!$B$234,0)))))))))))</f>
        <v>0</v>
      </c>
      <c r="AP29" s="647">
        <f t="shared" si="35"/>
        <v>0</v>
      </c>
      <c r="AQ29" s="577">
        <f t="shared" si="6"/>
        <v>0</v>
      </c>
      <c r="AR29" s="591">
        <f t="shared" si="63"/>
        <v>0</v>
      </c>
      <c r="AS29" s="578">
        <f t="shared" si="36"/>
        <v>0</v>
      </c>
      <c r="AT29" s="585" t="s">
        <v>17</v>
      </c>
      <c r="AU29" s="592"/>
      <c r="AV29" s="593">
        <f t="shared" si="7"/>
        <v>0</v>
      </c>
      <c r="AW29" s="594"/>
      <c r="AX29" s="593">
        <f t="shared" si="8"/>
        <v>0</v>
      </c>
      <c r="AY29" s="595">
        <f t="shared" si="9"/>
        <v>0</v>
      </c>
      <c r="AZ29" s="596">
        <f t="shared" si="37"/>
        <v>0</v>
      </c>
      <c r="BA29" s="597">
        <f t="shared" si="10"/>
        <v>0</v>
      </c>
      <c r="BB29" s="473" t="s">
        <v>74</v>
      </c>
      <c r="BC29" s="524">
        <f t="shared" si="38"/>
        <v>0</v>
      </c>
      <c r="BD29" s="697">
        <f t="shared" si="11"/>
        <v>0</v>
      </c>
      <c r="BE29" s="471">
        <f t="shared" si="12"/>
        <v>0</v>
      </c>
      <c r="BF29" s="472">
        <f t="shared" si="13"/>
        <v>0</v>
      </c>
      <c r="BG29" s="471">
        <f t="shared" si="14"/>
        <v>0</v>
      </c>
      <c r="BH29" s="742" t="str">
        <f>+IF(D29="Seleccione","",VLOOKUP(D29,'Datos Instalaciones'!$E$15:$F$34,2,FALSE))</f>
        <v/>
      </c>
      <c r="BI29" s="742">
        <f t="shared" si="39"/>
        <v>1</v>
      </c>
      <c r="BJ29" s="707" t="s">
        <v>17</v>
      </c>
      <c r="BK29" s="372">
        <f t="shared" si="40"/>
        <v>1</v>
      </c>
      <c r="BL29" s="673" t="str">
        <f>+BL27</f>
        <v>Seleccione</v>
      </c>
      <c r="BM29" s="670">
        <f t="shared" si="15"/>
        <v>1</v>
      </c>
      <c r="BN29" s="673" t="str">
        <f t="shared" si="41"/>
        <v>No</v>
      </c>
      <c r="BO29" s="670">
        <f t="shared" si="16"/>
        <v>1</v>
      </c>
      <c r="BP29" s="673" t="str">
        <f>+BP27</f>
        <v>Seleccione</v>
      </c>
      <c r="BQ29" s="674">
        <f>+IF('Datos Instalaciones'!$D$12="Residencial",MMEE!$BQ$37,1)</f>
        <v>1</v>
      </c>
      <c r="BR29" s="709" t="s">
        <v>17</v>
      </c>
      <c r="BS29" s="372">
        <f t="shared" si="17"/>
        <v>1</v>
      </c>
      <c r="BT29" s="710" t="s">
        <v>17</v>
      </c>
      <c r="BU29" s="372">
        <f t="shared" si="18"/>
        <v>1</v>
      </c>
      <c r="BV29" s="710" t="s">
        <v>17</v>
      </c>
      <c r="BW29" s="372">
        <f t="shared" si="19"/>
        <v>1</v>
      </c>
      <c r="BX29" s="482">
        <v>1</v>
      </c>
      <c r="BY29" s="670">
        <f t="shared" si="56"/>
        <v>1</v>
      </c>
      <c r="BZ29" s="670">
        <f t="shared" si="57"/>
        <v>1</v>
      </c>
      <c r="CA29" s="670">
        <f t="shared" si="58"/>
        <v>1</v>
      </c>
      <c r="CB29" s="670">
        <f t="shared" si="59"/>
        <v>1</v>
      </c>
      <c r="CC29" s="670">
        <f t="shared" si="60"/>
        <v>1</v>
      </c>
      <c r="CD29" s="670">
        <f t="shared" si="61"/>
        <v>1</v>
      </c>
      <c r="CE29" s="670">
        <f t="shared" si="62"/>
        <v>1</v>
      </c>
      <c r="CF29" s="487" t="s">
        <v>17</v>
      </c>
      <c r="CG29" s="486">
        <f t="shared" si="20"/>
        <v>1</v>
      </c>
      <c r="CH29" s="494">
        <v>1</v>
      </c>
      <c r="CI29" s="429">
        <f t="shared" si="43"/>
        <v>1</v>
      </c>
      <c r="CJ29" s="372">
        <f t="shared" si="44"/>
        <v>1</v>
      </c>
      <c r="CK29" s="498">
        <f t="shared" si="45"/>
        <v>0</v>
      </c>
      <c r="CL29" s="376">
        <f t="shared" si="46"/>
        <v>0</v>
      </c>
      <c r="CM29" s="498" t="e">
        <f t="shared" si="47"/>
        <v>#VALUE!</v>
      </c>
      <c r="CN29" s="376" t="e">
        <f t="shared" si="48"/>
        <v>#VALUE!</v>
      </c>
      <c r="CO29" s="500" t="e">
        <f t="shared" si="49"/>
        <v>#VALUE!</v>
      </c>
      <c r="CP29" s="373" t="e">
        <f t="shared" si="50"/>
        <v>#VALUE!</v>
      </c>
      <c r="CQ29" s="505">
        <f t="shared" si="51"/>
        <v>0</v>
      </c>
      <c r="CR29" s="505">
        <f t="shared" si="21"/>
        <v>0</v>
      </c>
      <c r="CS29" s="801"/>
      <c r="CT29" s="794"/>
    </row>
    <row r="30" spans="2:98" s="10" customFormat="1" x14ac:dyDescent="0.25">
      <c r="J30" s="11"/>
      <c r="K30" s="314"/>
      <c r="L30" s="11"/>
      <c r="M30" s="11"/>
      <c r="N30" s="11"/>
      <c r="O30" s="11"/>
      <c r="P30" s="11"/>
      <c r="Q30" s="11"/>
      <c r="R30" s="11"/>
      <c r="S30" s="11"/>
      <c r="T30" s="11"/>
      <c r="U30" s="450"/>
      <c r="V30" s="659"/>
      <c r="W30" s="483"/>
      <c r="X30" s="483"/>
      <c r="Y30" s="483"/>
      <c r="Z30" s="483"/>
      <c r="AA30" s="483"/>
      <c r="AB30" s="483"/>
      <c r="AC30" s="483"/>
      <c r="AD30" s="483"/>
      <c r="AE30" s="483"/>
      <c r="AF30" s="483"/>
      <c r="AG30" s="483"/>
      <c r="AH30" s="483"/>
      <c r="AI30" s="483"/>
      <c r="AJ30" s="483"/>
      <c r="AK30" s="483"/>
      <c r="AL30" s="598"/>
      <c r="AM30" s="599"/>
      <c r="AN30" s="599"/>
      <c r="AO30" s="483"/>
      <c r="AP30" s="483"/>
      <c r="AQ30" s="483"/>
      <c r="AR30" s="483"/>
      <c r="AS30" s="483"/>
      <c r="AT30" s="599"/>
      <c r="AU30" s="599"/>
      <c r="AV30" s="599"/>
      <c r="AW30" s="483"/>
      <c r="AX30" s="483"/>
      <c r="AY30" s="483"/>
      <c r="AZ30" s="483"/>
      <c r="BA30" s="483"/>
      <c r="BB30" s="483"/>
      <c r="BC30" s="600"/>
      <c r="BD30" s="308"/>
      <c r="BL30" s="25"/>
      <c r="BM30" s="25"/>
      <c r="BP30" s="36"/>
      <c r="BQ30" s="327"/>
      <c r="BX30" s="483"/>
      <c r="BY30" s="483"/>
      <c r="BZ30" s="483"/>
      <c r="CA30" s="483"/>
      <c r="CB30" s="483"/>
      <c r="CC30" s="483"/>
      <c r="CD30" s="483"/>
      <c r="CE30" s="483"/>
      <c r="CF30" s="483"/>
      <c r="CG30" s="483"/>
      <c r="CH30" s="483"/>
      <c r="CI30" s="25"/>
      <c r="CJ30" s="25"/>
      <c r="CK30" s="25"/>
      <c r="CL30" s="25"/>
      <c r="CM30" s="25"/>
      <c r="CN30" s="25"/>
      <c r="CO30" s="25"/>
      <c r="CP30" s="25"/>
      <c r="CQ30" s="430"/>
      <c r="CR30" s="682"/>
      <c r="CS30" s="430"/>
      <c r="CT30" s="430"/>
    </row>
    <row r="31" spans="2:98" s="104" customFormat="1" ht="15.75" customHeight="1" x14ac:dyDescent="0.25">
      <c r="B31" s="105" t="s">
        <v>12</v>
      </c>
      <c r="C31" s="105"/>
      <c r="E31" s="105"/>
      <c r="F31" s="105" t="s">
        <v>12</v>
      </c>
      <c r="G31" s="105"/>
      <c r="H31" s="105"/>
      <c r="I31" s="105"/>
      <c r="J31" s="106"/>
      <c r="K31" s="309"/>
      <c r="L31" s="106"/>
      <c r="M31" s="106"/>
      <c r="N31" s="106"/>
      <c r="U31" s="451"/>
      <c r="V31" s="601"/>
      <c r="W31" s="451"/>
      <c r="X31" s="451"/>
      <c r="Y31" s="451"/>
      <c r="Z31" s="451"/>
      <c r="AA31" s="451"/>
      <c r="AB31" s="451"/>
      <c r="AC31" s="451"/>
      <c r="AD31" s="451"/>
      <c r="AE31" s="451"/>
      <c r="AF31" s="451"/>
      <c r="AG31" s="451"/>
      <c r="AH31" s="451"/>
      <c r="AI31" s="451"/>
      <c r="AJ31" s="451"/>
      <c r="AK31" s="451"/>
      <c r="AL31" s="601"/>
      <c r="AM31" s="451"/>
      <c r="AN31" s="451"/>
      <c r="AO31" s="451"/>
      <c r="AP31" s="451"/>
      <c r="AQ31" s="451"/>
      <c r="AR31" s="451"/>
      <c r="AS31" s="451"/>
      <c r="AT31" s="451"/>
      <c r="AU31" s="451"/>
      <c r="AV31" s="451"/>
      <c r="AW31" s="451"/>
      <c r="AX31" s="451"/>
      <c r="AY31" s="451"/>
      <c r="AZ31" s="451"/>
      <c r="BA31" s="451"/>
      <c r="BB31" s="451"/>
      <c r="BC31" s="602"/>
      <c r="BD31" s="309"/>
      <c r="BL31" s="107"/>
      <c r="BM31" s="107"/>
      <c r="BP31" s="108"/>
      <c r="BQ31" s="328"/>
      <c r="BX31" s="451"/>
      <c r="BY31" s="451"/>
      <c r="BZ31" s="451"/>
      <c r="CA31" s="451"/>
      <c r="CB31" s="451"/>
      <c r="CC31" s="451"/>
      <c r="CD31" s="451"/>
      <c r="CE31" s="451"/>
      <c r="CF31" s="451"/>
      <c r="CG31" s="451"/>
      <c r="CH31" s="451"/>
      <c r="CI31" s="451"/>
      <c r="CJ31" s="451"/>
      <c r="CK31" s="451"/>
      <c r="CL31" s="451"/>
      <c r="CM31" s="451"/>
      <c r="CN31" s="451"/>
      <c r="CO31" s="451"/>
      <c r="CP31" s="451"/>
      <c r="CQ31" s="431"/>
      <c r="CR31" s="683"/>
      <c r="CS31" s="431"/>
      <c r="CT31" s="431"/>
    </row>
    <row r="32" spans="2:98" s="2" customFormat="1" x14ac:dyDescent="0.25">
      <c r="J32" s="109"/>
      <c r="K32" s="315"/>
      <c r="L32" s="109"/>
      <c r="M32" s="109"/>
      <c r="N32" s="109"/>
      <c r="O32" s="109"/>
      <c r="P32" s="315"/>
      <c r="Q32" s="315"/>
      <c r="R32" s="315"/>
      <c r="S32" s="109"/>
      <c r="T32" s="110"/>
      <c r="U32" s="452"/>
      <c r="V32" s="627"/>
      <c r="W32" s="452"/>
      <c r="X32" s="452"/>
      <c r="Y32" s="452"/>
      <c r="Z32" s="452"/>
      <c r="AA32" s="452"/>
      <c r="AB32" s="452"/>
      <c r="AC32" s="452"/>
      <c r="AD32" s="452"/>
      <c r="AE32" s="452"/>
      <c r="AF32" s="452"/>
      <c r="AG32" s="452"/>
      <c r="AH32" s="452"/>
      <c r="AI32" s="452"/>
      <c r="AJ32" s="603"/>
      <c r="AK32" s="452"/>
      <c r="AL32" s="604"/>
      <c r="AM32" s="603"/>
      <c r="AN32" s="452"/>
      <c r="AO32" s="452"/>
      <c r="AP32" s="452"/>
      <c r="AQ32" s="452"/>
      <c r="AR32" s="603"/>
      <c r="AS32" s="452"/>
      <c r="AT32" s="603"/>
      <c r="AU32" s="603"/>
      <c r="AV32" s="452"/>
      <c r="AW32" s="452"/>
      <c r="AX32" s="452"/>
      <c r="AY32" s="452"/>
      <c r="AZ32" s="452"/>
      <c r="BA32" s="452"/>
      <c r="BB32" s="452"/>
      <c r="BC32" s="605"/>
      <c r="BD32" s="310"/>
      <c r="BL32" s="26"/>
      <c r="BM32" s="26"/>
      <c r="BP32" s="37"/>
      <c r="BQ32" s="329"/>
      <c r="BX32" s="452"/>
      <c r="BY32" s="452"/>
      <c r="BZ32" s="452"/>
      <c r="CA32" s="452"/>
      <c r="CB32" s="452"/>
      <c r="CC32" s="452"/>
      <c r="CD32" s="452"/>
      <c r="CE32" s="452"/>
      <c r="CF32" s="452"/>
      <c r="CG32" s="452"/>
      <c r="CH32" s="452"/>
      <c r="CI32" s="452"/>
      <c r="CJ32" s="452"/>
      <c r="CK32" s="452"/>
      <c r="CL32" s="452"/>
      <c r="CM32" s="452"/>
      <c r="CN32" s="8"/>
      <c r="CO32" s="8"/>
      <c r="CP32" s="8"/>
      <c r="CQ32" s="399"/>
      <c r="CR32" s="684"/>
      <c r="CS32" s="399"/>
      <c r="CT32" s="399"/>
    </row>
    <row r="33" spans="2:98" s="2" customFormat="1" hidden="1" x14ac:dyDescent="0.25">
      <c r="B33" s="111"/>
      <c r="C33" s="111"/>
      <c r="D33" s="111"/>
      <c r="E33" s="111"/>
      <c r="F33" s="111" t="s">
        <v>205</v>
      </c>
      <c r="G33" s="111"/>
      <c r="H33" s="7"/>
      <c r="I33" s="7"/>
      <c r="J33" s="12"/>
      <c r="K33" s="316"/>
      <c r="L33" s="439"/>
      <c r="M33" s="439"/>
      <c r="N33" s="7"/>
      <c r="O33" s="7"/>
      <c r="P33" s="361"/>
      <c r="Q33" s="361"/>
      <c r="R33" s="439"/>
      <c r="S33" s="7"/>
      <c r="T33" s="110"/>
      <c r="U33" s="452"/>
      <c r="V33" s="627"/>
      <c r="W33" s="452"/>
      <c r="X33" s="452"/>
      <c r="Y33" s="452"/>
      <c r="Z33" s="452"/>
      <c r="AA33" s="452"/>
      <c r="AB33" s="452"/>
      <c r="AC33" s="452"/>
      <c r="AD33" s="452"/>
      <c r="AE33" s="452"/>
      <c r="AF33" s="452"/>
      <c r="AG33" s="452"/>
      <c r="AH33" s="452"/>
      <c r="AI33" s="603"/>
      <c r="AJ33" s="452"/>
      <c r="AK33" s="603"/>
      <c r="AL33" s="604"/>
      <c r="AM33" s="452"/>
      <c r="AN33" s="452"/>
      <c r="AO33" s="452"/>
      <c r="AP33" s="452"/>
      <c r="AQ33" s="603"/>
      <c r="AR33" s="452"/>
      <c r="AS33" s="603"/>
      <c r="AT33" s="603"/>
      <c r="AU33" s="452"/>
      <c r="AV33" s="452"/>
      <c r="AW33" s="452"/>
      <c r="AX33" s="452"/>
      <c r="AY33" s="452"/>
      <c r="AZ33" s="452"/>
      <c r="BA33" s="452"/>
      <c r="BB33" s="452"/>
      <c r="BC33" s="605"/>
      <c r="BD33" s="310"/>
      <c r="BL33" s="26"/>
      <c r="BM33" s="26"/>
      <c r="BP33" s="37"/>
      <c r="BQ33" s="329"/>
      <c r="BX33" s="452"/>
      <c r="BY33" s="452"/>
      <c r="BZ33" s="452"/>
      <c r="CA33" s="452"/>
      <c r="CB33" s="452"/>
      <c r="CC33" s="452"/>
      <c r="CD33" s="452"/>
      <c r="CE33" s="452"/>
      <c r="CF33" s="452"/>
      <c r="CG33" s="452"/>
      <c r="CH33" s="495"/>
      <c r="CI33" s="399"/>
      <c r="CK33" s="399"/>
      <c r="CM33" s="399"/>
      <c r="CO33" s="399"/>
      <c r="CQ33" s="399"/>
      <c r="CR33" s="684"/>
      <c r="CS33" s="399"/>
      <c r="CT33" s="399"/>
    </row>
    <row r="34" spans="2:98" s="2" customFormat="1" ht="15.75" hidden="1" customHeight="1" x14ac:dyDescent="0.25">
      <c r="B34" s="7"/>
      <c r="C34" s="7"/>
      <c r="D34" s="7"/>
      <c r="E34" s="7"/>
      <c r="F34" s="7"/>
      <c r="G34" s="7"/>
      <c r="H34" s="7"/>
      <c r="I34" s="7"/>
      <c r="J34" s="12"/>
      <c r="K34" s="316"/>
      <c r="L34" s="433"/>
      <c r="M34" s="433"/>
      <c r="N34" s="7"/>
      <c r="O34" s="7"/>
      <c r="P34" s="362"/>
      <c r="Q34" s="362"/>
      <c r="R34" s="433"/>
      <c r="S34" s="7"/>
      <c r="T34" s="7"/>
      <c r="U34" s="452"/>
      <c r="V34" s="627"/>
      <c r="X34" s="452"/>
      <c r="Y34" s="452"/>
      <c r="Z34" s="606" t="s">
        <v>107</v>
      </c>
      <c r="AA34" s="606" t="s">
        <v>470</v>
      </c>
      <c r="AB34" s="452"/>
      <c r="AC34" s="452"/>
      <c r="AD34" s="607" t="s">
        <v>59</v>
      </c>
      <c r="AE34" s="608"/>
      <c r="AF34" s="608"/>
      <c r="AG34" s="608"/>
      <c r="AH34" s="608"/>
      <c r="AI34" s="608"/>
      <c r="AJ34" s="608"/>
      <c r="AK34" s="608"/>
      <c r="AL34" s="609"/>
      <c r="AM34" s="603"/>
      <c r="AN34" s="452"/>
      <c r="AO34" s="603"/>
      <c r="AP34" s="603"/>
      <c r="AQ34" s="452"/>
      <c r="AR34" s="452"/>
      <c r="AS34" s="452"/>
      <c r="AT34" s="452"/>
      <c r="AU34" s="603"/>
      <c r="AV34" s="452"/>
      <c r="AW34" s="603"/>
      <c r="AX34" s="603"/>
      <c r="AY34" s="452"/>
      <c r="AZ34" s="452"/>
      <c r="BA34" s="452"/>
      <c r="BB34" s="452"/>
      <c r="BC34" s="605"/>
      <c r="BD34" s="310"/>
      <c r="BL34" s="26"/>
      <c r="BM34" s="26"/>
      <c r="BP34" s="37"/>
      <c r="BQ34" s="329"/>
      <c r="BX34" s="452"/>
      <c r="BY34" s="452"/>
      <c r="BZ34" s="452"/>
      <c r="CA34" s="452"/>
      <c r="CB34" s="452"/>
      <c r="CC34" s="452"/>
      <c r="CD34" s="452"/>
      <c r="CE34" s="452"/>
      <c r="CF34" s="452"/>
      <c r="CG34" s="452"/>
      <c r="CH34" s="495"/>
      <c r="CI34" s="399"/>
      <c r="CK34" s="399"/>
      <c r="CM34" s="399"/>
      <c r="CO34" s="399"/>
      <c r="CQ34" s="399"/>
      <c r="CR34" s="684"/>
      <c r="CS34" s="399"/>
      <c r="CT34" s="399"/>
    </row>
    <row r="35" spans="2:98" s="2" customFormat="1" ht="51.75" hidden="1" customHeight="1" x14ac:dyDescent="0.25">
      <c r="H35" s="510" t="s">
        <v>151</v>
      </c>
      <c r="I35" s="510" t="s">
        <v>240</v>
      </c>
      <c r="K35" s="113"/>
      <c r="L35" s="440" t="s">
        <v>508</v>
      </c>
      <c r="M35" s="463" t="s">
        <v>507</v>
      </c>
      <c r="N35" s="113"/>
      <c r="O35" s="112" t="s">
        <v>544</v>
      </c>
      <c r="P35" s="631" t="s">
        <v>466</v>
      </c>
      <c r="Q35" s="434"/>
      <c r="R35" s="440" t="s">
        <v>501</v>
      </c>
      <c r="S35" s="113"/>
      <c r="T35" s="113"/>
      <c r="U35" s="453" t="s">
        <v>58</v>
      </c>
      <c r="V35" s="610" t="s">
        <v>114</v>
      </c>
      <c r="W35" s="610" t="s">
        <v>546</v>
      </c>
      <c r="X35" s="610" t="s">
        <v>18</v>
      </c>
      <c r="Y35" s="610" t="s">
        <v>131</v>
      </c>
      <c r="Z35" s="610" t="s">
        <v>90</v>
      </c>
      <c r="AA35" s="610" t="s">
        <v>10</v>
      </c>
      <c r="AB35" s="610" t="s">
        <v>120</v>
      </c>
      <c r="AC35" s="452"/>
      <c r="AD35" s="610" t="s">
        <v>212</v>
      </c>
      <c r="AE35" s="608"/>
      <c r="AF35" s="806"/>
      <c r="AG35" s="806"/>
      <c r="AH35" s="806"/>
      <c r="AI35" s="608"/>
      <c r="AJ35" s="608"/>
      <c r="AK35" s="510" t="s">
        <v>151</v>
      </c>
      <c r="AL35" s="651" t="s">
        <v>114</v>
      </c>
      <c r="AM35" s="651" t="s">
        <v>546</v>
      </c>
      <c r="AN35" s="648" t="s">
        <v>131</v>
      </c>
      <c r="AO35" s="648" t="s">
        <v>18</v>
      </c>
      <c r="AP35" s="603"/>
      <c r="AQ35" s="452"/>
      <c r="AR35" s="452"/>
      <c r="AS35" s="452"/>
      <c r="AT35" s="452"/>
      <c r="AU35" s="603"/>
      <c r="AV35" s="452"/>
      <c r="AW35" s="603"/>
      <c r="AX35" s="603"/>
      <c r="AY35" s="452"/>
      <c r="AZ35" s="452"/>
      <c r="BA35" s="452"/>
      <c r="BB35" s="611" t="s">
        <v>92</v>
      </c>
      <c r="BC35" s="605"/>
      <c r="BD35" s="310"/>
      <c r="BH35" s="807" t="s">
        <v>63</v>
      </c>
      <c r="BI35" s="808"/>
      <c r="BJ35" s="807" t="s">
        <v>65</v>
      </c>
      <c r="BK35" s="808"/>
      <c r="BL35" s="332" t="s">
        <v>475</v>
      </c>
      <c r="BM35" s="333"/>
      <c r="BN35" s="807" t="s">
        <v>69</v>
      </c>
      <c r="BO35" s="808"/>
      <c r="BP35" s="809" t="s">
        <v>94</v>
      </c>
      <c r="BQ35" s="810"/>
      <c r="BR35" s="807" t="s">
        <v>126</v>
      </c>
      <c r="BS35" s="808"/>
      <c r="BT35" s="807" t="s">
        <v>144</v>
      </c>
      <c r="BU35" s="808"/>
      <c r="BV35" s="815" t="s">
        <v>206</v>
      </c>
      <c r="BW35" s="816"/>
      <c r="BX35" s="452"/>
      <c r="BY35" s="746"/>
      <c r="BZ35" s="746"/>
      <c r="CA35" s="746"/>
      <c r="CB35" s="746"/>
      <c r="CC35" s="746"/>
      <c r="CD35" s="746"/>
      <c r="CE35" s="746"/>
      <c r="CF35" s="786" t="s">
        <v>70</v>
      </c>
      <c r="CG35" s="786"/>
      <c r="CH35" s="495"/>
      <c r="CI35" s="399"/>
      <c r="CK35" s="399"/>
      <c r="CM35" s="399"/>
      <c r="CO35" s="399"/>
      <c r="CQ35" s="399"/>
      <c r="CR35" s="684"/>
      <c r="CS35" s="399"/>
      <c r="CT35" s="399"/>
    </row>
    <row r="36" spans="2:98" s="2" customFormat="1" ht="15" hidden="1" customHeight="1" x14ac:dyDescent="0.25">
      <c r="H36" s="511" t="s">
        <v>17</v>
      </c>
      <c r="I36" s="188"/>
      <c r="K36" s="317"/>
      <c r="L36" s="464" t="s">
        <v>17</v>
      </c>
      <c r="M36" s="465" t="s">
        <v>17</v>
      </c>
      <c r="N36" s="114"/>
      <c r="O36" s="635"/>
      <c r="P36" s="632" t="s">
        <v>17</v>
      </c>
      <c r="Q36" s="435"/>
      <c r="R36" s="441" t="s">
        <v>17</v>
      </c>
      <c r="S36" s="114"/>
      <c r="T36" s="114"/>
      <c r="U36" s="454" t="s">
        <v>17</v>
      </c>
      <c r="V36" s="456" t="s">
        <v>17</v>
      </c>
      <c r="W36" s="612"/>
      <c r="X36" s="612"/>
      <c r="Y36" s="612"/>
      <c r="Z36" s="612"/>
      <c r="AA36" s="612"/>
      <c r="AB36" s="613"/>
      <c r="AC36" s="452"/>
      <c r="AD36" s="614"/>
      <c r="AE36" s="608"/>
      <c r="AF36" s="608"/>
      <c r="AG36" s="608"/>
      <c r="AH36" s="608"/>
      <c r="AI36" s="608"/>
      <c r="AJ36" s="608"/>
      <c r="AK36" s="511" t="s">
        <v>17</v>
      </c>
      <c r="AL36" s="652" t="s">
        <v>17</v>
      </c>
      <c r="AM36" s="653"/>
      <c r="AN36" s="649"/>
      <c r="AO36" s="650"/>
      <c r="AP36" s="603"/>
      <c r="AQ36" s="452"/>
      <c r="AR36" s="452"/>
      <c r="AS36" s="452"/>
      <c r="AT36" s="452"/>
      <c r="AU36" s="603"/>
      <c r="AV36" s="452"/>
      <c r="AW36" s="603"/>
      <c r="AX36" s="603"/>
      <c r="AY36" s="452"/>
      <c r="AZ36" s="452"/>
      <c r="BA36" s="452"/>
      <c r="BB36" s="611" t="s">
        <v>17</v>
      </c>
      <c r="BC36" s="605"/>
      <c r="BD36" s="310"/>
      <c r="BH36" s="393" t="s">
        <v>17</v>
      </c>
      <c r="BI36" s="394"/>
      <c r="BJ36" s="393" t="s">
        <v>17</v>
      </c>
      <c r="BK36" s="395"/>
      <c r="BL36" s="336" t="s">
        <v>17</v>
      </c>
      <c r="BM36" s="333"/>
      <c r="BN36" s="337" t="s">
        <v>17</v>
      </c>
      <c r="BO36" s="335"/>
      <c r="BP36" s="338" t="s">
        <v>17</v>
      </c>
      <c r="BQ36" s="339"/>
      <c r="BR36" s="337" t="s">
        <v>17</v>
      </c>
      <c r="BS36" s="335"/>
      <c r="BT36" s="787" t="s">
        <v>17</v>
      </c>
      <c r="BU36" s="788"/>
      <c r="BV36" s="340" t="s">
        <v>17</v>
      </c>
      <c r="BW36" s="340"/>
      <c r="BX36" s="452"/>
      <c r="BY36" s="747"/>
      <c r="BZ36" s="747"/>
      <c r="CA36" s="747"/>
      <c r="CB36" s="747"/>
      <c r="CC36" s="747"/>
      <c r="CD36" s="747"/>
      <c r="CE36" s="746"/>
      <c r="CF36" s="789" t="s">
        <v>17</v>
      </c>
      <c r="CG36" s="789"/>
      <c r="CH36" s="496"/>
      <c r="CI36" s="399"/>
      <c r="CK36" s="399"/>
      <c r="CM36" s="399"/>
      <c r="CN36" s="116" t="s">
        <v>139</v>
      </c>
      <c r="CO36" s="116" t="s">
        <v>140</v>
      </c>
      <c r="CQ36" s="501"/>
      <c r="CR36" s="452"/>
      <c r="CS36" s="399"/>
      <c r="CT36" s="399"/>
    </row>
    <row r="37" spans="2:98" s="2" customFormat="1" ht="102" hidden="1" x14ac:dyDescent="0.25">
      <c r="H37" s="512" t="s">
        <v>95</v>
      </c>
      <c r="I37" s="189" t="s">
        <v>356</v>
      </c>
      <c r="K37" s="318"/>
      <c r="L37" s="515" t="s">
        <v>509</v>
      </c>
      <c r="M37" s="516" t="s">
        <v>95</v>
      </c>
      <c r="N37" s="117"/>
      <c r="O37" s="636">
        <v>15</v>
      </c>
      <c r="P37" s="633" t="s">
        <v>71</v>
      </c>
      <c r="Q37" s="436"/>
      <c r="R37" s="442" t="s">
        <v>502</v>
      </c>
      <c r="S37" s="117"/>
      <c r="T37" s="117"/>
      <c r="U37" s="455" t="s">
        <v>80</v>
      </c>
      <c r="V37" s="646" t="s">
        <v>85</v>
      </c>
      <c r="W37" s="644">
        <f>0.1537*42.015</f>
        <v>6.4577055000000003</v>
      </c>
      <c r="X37" s="615" t="s">
        <v>11</v>
      </c>
      <c r="Y37" s="615" t="s">
        <v>134</v>
      </c>
      <c r="Z37" s="615" t="s">
        <v>104</v>
      </c>
      <c r="AA37" s="616">
        <v>8.599999999999999E-5</v>
      </c>
      <c r="AB37" s="617">
        <v>0.52325581395348797</v>
      </c>
      <c r="AC37" s="618" t="s">
        <v>95</v>
      </c>
      <c r="AD37" s="614">
        <f>+Calculadores!B9</f>
        <v>1380</v>
      </c>
      <c r="AE37" s="608"/>
      <c r="AF37" s="619"/>
      <c r="AG37" s="608"/>
      <c r="AH37" s="620"/>
      <c r="AI37" s="608"/>
      <c r="AJ37" s="608"/>
      <c r="AK37" s="512" t="str">
        <f>+H37</f>
        <v>Paneles solares térmicos</v>
      </c>
      <c r="AL37" s="654" t="s">
        <v>85</v>
      </c>
      <c r="AM37" s="655">
        <f>0.1537*42.015</f>
        <v>6.4577055000000003</v>
      </c>
      <c r="AN37" s="650" t="s">
        <v>134</v>
      </c>
      <c r="AO37" s="650" t="s">
        <v>11</v>
      </c>
      <c r="AP37" s="603"/>
      <c r="AQ37" s="452"/>
      <c r="AR37" s="452"/>
      <c r="AS37" s="452"/>
      <c r="AT37" s="452"/>
      <c r="AU37" s="603"/>
      <c r="AV37" s="452"/>
      <c r="AW37" s="603"/>
      <c r="AX37" s="603"/>
      <c r="AY37" s="452"/>
      <c r="AZ37" s="452"/>
      <c r="BA37" s="452"/>
      <c r="BB37" s="614" t="s">
        <v>74</v>
      </c>
      <c r="BC37" s="605"/>
      <c r="BD37" s="310"/>
      <c r="BH37" s="396" t="s">
        <v>27</v>
      </c>
      <c r="BI37" s="397">
        <v>1.2</v>
      </c>
      <c r="BJ37" s="398" t="s">
        <v>67</v>
      </c>
      <c r="BK37" s="394">
        <v>1.8</v>
      </c>
      <c r="BL37" s="342" t="s">
        <v>320</v>
      </c>
      <c r="BM37" s="343">
        <v>2</v>
      </c>
      <c r="BN37" s="344" t="s">
        <v>303</v>
      </c>
      <c r="BO37" s="345">
        <v>3</v>
      </c>
      <c r="BP37" s="342" t="s">
        <v>71</v>
      </c>
      <c r="BQ37" s="346">
        <v>3</v>
      </c>
      <c r="BR37" s="341" t="s">
        <v>129</v>
      </c>
      <c r="BS37" s="334">
        <v>1.05</v>
      </c>
      <c r="BT37" s="341" t="s">
        <v>145</v>
      </c>
      <c r="BU37" s="334">
        <v>1.05</v>
      </c>
      <c r="BV37" s="341" t="s">
        <v>207</v>
      </c>
      <c r="BW37" s="334">
        <v>1.1000000000000001</v>
      </c>
      <c r="BX37" s="452"/>
      <c r="BY37" s="748"/>
      <c r="BZ37" s="748"/>
      <c r="CA37" s="748"/>
      <c r="CB37" s="748"/>
      <c r="CC37" s="748"/>
      <c r="CD37" s="748"/>
      <c r="CE37" s="746"/>
      <c r="CF37" s="488" t="s">
        <v>476</v>
      </c>
      <c r="CG37" s="489">
        <v>0</v>
      </c>
      <c r="CH37" s="496"/>
      <c r="CI37" s="399"/>
      <c r="CK37" s="399"/>
      <c r="CM37" s="399"/>
      <c r="CN37" s="118">
        <v>7.4999999999999997E-2</v>
      </c>
      <c r="CO37" s="119">
        <v>1000</v>
      </c>
      <c r="CQ37" s="501"/>
      <c r="CR37" s="452"/>
      <c r="CS37" s="399"/>
      <c r="CT37" s="399"/>
    </row>
    <row r="38" spans="2:98" s="2" customFormat="1" ht="89.25" hidden="1" x14ac:dyDescent="0.25">
      <c r="H38" s="512" t="s">
        <v>463</v>
      </c>
      <c r="I38" s="189" t="s">
        <v>241</v>
      </c>
      <c r="K38" s="319"/>
      <c r="L38" s="515" t="s">
        <v>511</v>
      </c>
      <c r="M38" s="516" t="s">
        <v>514</v>
      </c>
      <c r="N38" s="117"/>
      <c r="O38" s="636">
        <v>20</v>
      </c>
      <c r="P38" s="634" t="s">
        <v>74</v>
      </c>
      <c r="Q38" s="437"/>
      <c r="R38" s="443" t="s">
        <v>503</v>
      </c>
      <c r="S38" s="117"/>
      <c r="T38" s="117"/>
      <c r="U38" s="456" t="s">
        <v>81</v>
      </c>
      <c r="V38" s="646" t="s">
        <v>85</v>
      </c>
      <c r="W38" s="644">
        <f t="shared" ref="W38:W43" si="74">0.1537*42.015</f>
        <v>6.4577055000000003</v>
      </c>
      <c r="X38" s="615" t="s">
        <v>11</v>
      </c>
      <c r="Y38" s="615" t="s">
        <v>134</v>
      </c>
      <c r="Z38" s="615" t="s">
        <v>104</v>
      </c>
      <c r="AA38" s="616">
        <v>8.599999999999999E-5</v>
      </c>
      <c r="AB38" s="617">
        <v>0.52325581395348797</v>
      </c>
      <c r="AC38" s="618" t="s">
        <v>463</v>
      </c>
      <c r="AD38" s="614"/>
      <c r="AE38" s="608"/>
      <c r="AF38" s="608"/>
      <c r="AG38" s="608"/>
      <c r="AH38" s="620"/>
      <c r="AI38" s="608"/>
      <c r="AJ38" s="608"/>
      <c r="AK38" s="512" t="str">
        <f t="shared" ref="AK38:AK47" si="75">+H38</f>
        <v>Paneles fotovoltaicos para autoconsumo</v>
      </c>
      <c r="AL38" s="654" t="s">
        <v>85</v>
      </c>
      <c r="AM38" s="655">
        <f t="shared" ref="AM38:AM43" si="76">0.1537*42.015</f>
        <v>6.4577055000000003</v>
      </c>
      <c r="AN38" s="650" t="s">
        <v>134</v>
      </c>
      <c r="AO38" s="650" t="s">
        <v>11</v>
      </c>
      <c r="AP38" s="603"/>
      <c r="AQ38" s="452"/>
      <c r="AR38" s="452"/>
      <c r="AS38" s="452"/>
      <c r="AT38" s="452"/>
      <c r="AU38" s="621"/>
      <c r="AV38" s="452"/>
      <c r="AW38" s="621"/>
      <c r="AX38" s="603"/>
      <c r="AY38" s="452"/>
      <c r="AZ38" s="452"/>
      <c r="BA38" s="452"/>
      <c r="BB38" s="614" t="s">
        <v>71</v>
      </c>
      <c r="BC38" s="605"/>
      <c r="BD38" s="310"/>
      <c r="BH38" s="396" t="s">
        <v>28</v>
      </c>
      <c r="BI38" s="397">
        <v>1.1599999999999999</v>
      </c>
      <c r="BJ38" s="398" t="s">
        <v>68</v>
      </c>
      <c r="BK38" s="394">
        <v>1.3</v>
      </c>
      <c r="BL38" s="342" t="s">
        <v>321</v>
      </c>
      <c r="BM38" s="343">
        <v>1.5</v>
      </c>
      <c r="BN38" s="344" t="s">
        <v>304</v>
      </c>
      <c r="BO38" s="345">
        <v>2</v>
      </c>
      <c r="BP38" s="342" t="s">
        <v>74</v>
      </c>
      <c r="BQ38" s="346">
        <v>1</v>
      </c>
      <c r="BR38" s="341" t="s">
        <v>127</v>
      </c>
      <c r="BS38" s="334">
        <v>1.1499999999999999</v>
      </c>
      <c r="BT38" s="341" t="s">
        <v>146</v>
      </c>
      <c r="BU38" s="334">
        <v>1.1499999999999999</v>
      </c>
      <c r="BV38" s="341" t="s">
        <v>208</v>
      </c>
      <c r="BW38" s="334">
        <v>1.2</v>
      </c>
      <c r="BX38" s="452"/>
      <c r="BY38" s="748"/>
      <c r="BZ38" s="748"/>
      <c r="CA38" s="748"/>
      <c r="CB38" s="748"/>
      <c r="CC38" s="748"/>
      <c r="CD38" s="748"/>
      <c r="CE38" s="746"/>
      <c r="CF38" s="488" t="s">
        <v>477</v>
      </c>
      <c r="CG38" s="489">
        <v>0.6</v>
      </c>
      <c r="CH38" s="497"/>
      <c r="CI38" s="399"/>
      <c r="CK38" s="399"/>
      <c r="CM38" s="399"/>
      <c r="CQ38" s="399"/>
      <c r="CR38" s="684"/>
      <c r="CS38" s="399"/>
      <c r="CT38" s="399"/>
    </row>
    <row r="39" spans="2:98" s="2" customFormat="1" ht="34.5" hidden="1" customHeight="1" x14ac:dyDescent="0.25">
      <c r="H39" s="513" t="s">
        <v>460</v>
      </c>
      <c r="I39" s="189" t="s">
        <v>354</v>
      </c>
      <c r="K39" s="320"/>
      <c r="L39" s="515" t="s">
        <v>509</v>
      </c>
      <c r="M39" s="517" t="s">
        <v>460</v>
      </c>
      <c r="N39" s="117"/>
      <c r="O39" s="636">
        <v>10</v>
      </c>
      <c r="P39" s="320"/>
      <c r="Q39" s="320"/>
      <c r="R39" s="444" t="s">
        <v>504</v>
      </c>
      <c r="S39" s="117"/>
      <c r="T39" s="117"/>
      <c r="U39" s="456" t="s">
        <v>82</v>
      </c>
      <c r="V39" s="646" t="s">
        <v>85</v>
      </c>
      <c r="W39" s="644">
        <f t="shared" si="74"/>
        <v>6.4577055000000003</v>
      </c>
      <c r="X39" s="615" t="s">
        <v>11</v>
      </c>
      <c r="Y39" s="615" t="s">
        <v>134</v>
      </c>
      <c r="Z39" s="615" t="s">
        <v>104</v>
      </c>
      <c r="AA39" s="616">
        <v>8.599999999999999E-5</v>
      </c>
      <c r="AB39" s="617">
        <v>0.52325581395348797</v>
      </c>
      <c r="AC39" s="622" t="s">
        <v>460</v>
      </c>
      <c r="AD39" s="614"/>
      <c r="AE39" s="608"/>
      <c r="AF39" s="623"/>
      <c r="AG39" s="608"/>
      <c r="AH39" s="620"/>
      <c r="AI39" s="608"/>
      <c r="AJ39" s="608"/>
      <c r="AK39" s="512" t="str">
        <f t="shared" si="75"/>
        <v>Termotanques eléctricos - Clase A</v>
      </c>
      <c r="AL39" s="654" t="s">
        <v>85</v>
      </c>
      <c r="AM39" s="655">
        <f t="shared" si="76"/>
        <v>6.4577055000000003</v>
      </c>
      <c r="AN39" s="650" t="s">
        <v>134</v>
      </c>
      <c r="AO39" s="650" t="s">
        <v>11</v>
      </c>
      <c r="AP39" s="603"/>
      <c r="AQ39" s="452"/>
      <c r="AR39" s="452"/>
      <c r="AS39" s="452"/>
      <c r="AT39" s="452"/>
      <c r="AU39" s="621"/>
      <c r="AV39" s="452"/>
      <c r="AW39" s="621"/>
      <c r="AX39" s="603"/>
      <c r="AY39" s="452"/>
      <c r="AZ39" s="452"/>
      <c r="BA39" s="452"/>
      <c r="BB39" s="452"/>
      <c r="BC39" s="605"/>
      <c r="BD39" s="310"/>
      <c r="BH39" s="396" t="s">
        <v>29</v>
      </c>
      <c r="BI39" s="397">
        <v>1.2</v>
      </c>
      <c r="BJ39" s="398" t="s">
        <v>122</v>
      </c>
      <c r="BK39" s="394">
        <v>1</v>
      </c>
      <c r="BL39" s="342" t="s">
        <v>442</v>
      </c>
      <c r="BM39" s="343">
        <v>1.2</v>
      </c>
      <c r="BN39" s="344" t="s">
        <v>305</v>
      </c>
      <c r="BO39" s="345">
        <v>2</v>
      </c>
      <c r="BP39" s="347"/>
      <c r="BQ39" s="348"/>
      <c r="BR39" s="341" t="s">
        <v>128</v>
      </c>
      <c r="BS39" s="334">
        <v>1.25</v>
      </c>
      <c r="BT39" s="341" t="s">
        <v>147</v>
      </c>
      <c r="BU39" s="334">
        <v>1.25</v>
      </c>
      <c r="BV39" s="341" t="s">
        <v>209</v>
      </c>
      <c r="BW39" s="334">
        <v>1.25</v>
      </c>
      <c r="BX39" s="452"/>
      <c r="BY39" s="748"/>
      <c r="BZ39" s="748"/>
      <c r="CA39" s="748"/>
      <c r="CB39" s="748"/>
      <c r="CC39" s="748"/>
      <c r="CD39" s="748"/>
      <c r="CE39" s="746"/>
      <c r="CF39" s="488" t="s">
        <v>478</v>
      </c>
      <c r="CG39" s="489">
        <v>1</v>
      </c>
      <c r="CH39" s="497"/>
      <c r="CI39" s="399"/>
      <c r="CK39" s="399"/>
      <c r="CM39" s="399"/>
      <c r="CO39" s="399"/>
      <c r="CQ39" s="399"/>
      <c r="CR39" s="684"/>
      <c r="CS39" s="399"/>
      <c r="CT39" s="399"/>
    </row>
    <row r="40" spans="2:98" s="2" customFormat="1" ht="38.25" hidden="1" x14ac:dyDescent="0.25">
      <c r="H40" s="512" t="s">
        <v>461</v>
      </c>
      <c r="I40" s="189" t="s">
        <v>353</v>
      </c>
      <c r="K40" s="320"/>
      <c r="L40" s="515" t="s">
        <v>510</v>
      </c>
      <c r="M40" s="516" t="s">
        <v>515</v>
      </c>
      <c r="N40" s="117"/>
      <c r="O40" s="636">
        <v>12</v>
      </c>
      <c r="P40" s="311"/>
      <c r="Q40" s="311"/>
      <c r="S40" s="117"/>
      <c r="T40" s="117"/>
      <c r="U40" s="457"/>
      <c r="V40" s="646" t="s">
        <v>85</v>
      </c>
      <c r="W40" s="644">
        <f t="shared" si="74"/>
        <v>6.4577055000000003</v>
      </c>
      <c r="X40" s="615" t="s">
        <v>11</v>
      </c>
      <c r="Y40" s="615" t="s">
        <v>134</v>
      </c>
      <c r="Z40" s="615" t="s">
        <v>104</v>
      </c>
      <c r="AA40" s="616">
        <v>8.599999999999999E-5</v>
      </c>
      <c r="AB40" s="617">
        <v>0.52325581395348797</v>
      </c>
      <c r="AC40" s="618" t="s">
        <v>461</v>
      </c>
      <c r="AD40" s="614"/>
      <c r="AE40" s="608"/>
      <c r="AF40" s="623"/>
      <c r="AG40" s="608"/>
      <c r="AH40" s="620"/>
      <c r="AI40" s="608"/>
      <c r="AJ40" s="608"/>
      <c r="AK40" s="512" t="str">
        <f t="shared" si="75"/>
        <v>Refrigeradores - Clase A</v>
      </c>
      <c r="AL40" s="654" t="s">
        <v>85</v>
      </c>
      <c r="AM40" s="655">
        <f t="shared" si="76"/>
        <v>6.4577055000000003</v>
      </c>
      <c r="AN40" s="650" t="s">
        <v>134</v>
      </c>
      <c r="AO40" s="650" t="s">
        <v>11</v>
      </c>
      <c r="AP40" s="603"/>
      <c r="AQ40" s="452"/>
      <c r="AR40" s="452"/>
      <c r="AS40" s="452"/>
      <c r="AT40" s="452"/>
      <c r="AU40" s="621"/>
      <c r="AV40" s="452"/>
      <c r="AW40" s="621"/>
      <c r="AX40" s="603"/>
      <c r="AY40" s="452"/>
      <c r="AZ40" s="452"/>
      <c r="BA40" s="452"/>
      <c r="BB40" s="452"/>
      <c r="BC40" s="605"/>
      <c r="BD40" s="310"/>
      <c r="BH40" s="396" t="s">
        <v>30</v>
      </c>
      <c r="BI40" s="397">
        <v>1.1599999999999999</v>
      </c>
      <c r="BJ40" s="398" t="s">
        <v>66</v>
      </c>
      <c r="BK40" s="394">
        <v>2</v>
      </c>
      <c r="BL40" s="226" t="s">
        <v>453</v>
      </c>
      <c r="BM40" s="343">
        <v>1</v>
      </c>
      <c r="BN40" s="344" t="s">
        <v>306</v>
      </c>
      <c r="BO40" s="345">
        <v>1.5</v>
      </c>
      <c r="BP40" s="347"/>
      <c r="BQ40" s="348"/>
      <c r="BX40" s="452"/>
      <c r="BY40" s="748"/>
      <c r="BZ40" s="748"/>
      <c r="CA40" s="748"/>
      <c r="CB40" s="748"/>
      <c r="CC40" s="748"/>
      <c r="CD40" s="748"/>
      <c r="CE40" s="746"/>
      <c r="CF40" s="488" t="s">
        <v>479</v>
      </c>
      <c r="CG40" s="489">
        <v>1</v>
      </c>
      <c r="CH40" s="497"/>
      <c r="CI40" s="399"/>
      <c r="CK40" s="399"/>
      <c r="CM40" s="399"/>
      <c r="CO40" s="399"/>
      <c r="CQ40" s="399"/>
      <c r="CR40" s="684"/>
      <c r="CS40" s="399"/>
      <c r="CT40" s="399"/>
    </row>
    <row r="41" spans="2:98" s="2" customFormat="1" ht="39" hidden="1" x14ac:dyDescent="0.25">
      <c r="H41" s="513" t="s">
        <v>459</v>
      </c>
      <c r="I41" s="189" t="s">
        <v>245</v>
      </c>
      <c r="K41" s="311"/>
      <c r="L41" s="515" t="s">
        <v>533</v>
      </c>
      <c r="M41" s="517" t="s">
        <v>459</v>
      </c>
      <c r="N41" s="3"/>
      <c r="O41" s="115">
        <v>8</v>
      </c>
      <c r="P41" s="320"/>
      <c r="Q41" s="320"/>
      <c r="R41" s="3"/>
      <c r="S41" s="3"/>
      <c r="T41" s="3"/>
      <c r="U41" s="457"/>
      <c r="V41" s="646" t="s">
        <v>85</v>
      </c>
      <c r="W41" s="644">
        <f t="shared" si="74"/>
        <v>6.4577055000000003</v>
      </c>
      <c r="X41" s="615" t="s">
        <v>11</v>
      </c>
      <c r="Y41" s="615" t="s">
        <v>134</v>
      </c>
      <c r="Z41" s="615" t="s">
        <v>104</v>
      </c>
      <c r="AA41" s="616">
        <v>8.599999999999999E-5</v>
      </c>
      <c r="AB41" s="617">
        <v>0.52325581395348797</v>
      </c>
      <c r="AC41" s="622" t="s">
        <v>459</v>
      </c>
      <c r="AD41" s="614"/>
      <c r="AE41" s="608"/>
      <c r="AF41" s="623"/>
      <c r="AG41" s="608"/>
      <c r="AH41" s="620"/>
      <c r="AI41" s="608"/>
      <c r="AJ41" s="608"/>
      <c r="AK41" s="512" t="str">
        <f t="shared" si="75"/>
        <v>Acondicionadores de aire - Clase A</v>
      </c>
      <c r="AL41" s="654" t="s">
        <v>85</v>
      </c>
      <c r="AM41" s="655">
        <f t="shared" si="76"/>
        <v>6.4577055000000003</v>
      </c>
      <c r="AN41" s="650" t="s">
        <v>134</v>
      </c>
      <c r="AO41" s="650" t="s">
        <v>11</v>
      </c>
      <c r="AP41" s="603"/>
      <c r="AQ41" s="452"/>
      <c r="AR41" s="452"/>
      <c r="AS41" s="452"/>
      <c r="AT41" s="452"/>
      <c r="AU41" s="621"/>
      <c r="AV41" s="452"/>
      <c r="AW41" s="621"/>
      <c r="AX41" s="603"/>
      <c r="AY41" s="452"/>
      <c r="AZ41" s="452"/>
      <c r="BA41" s="452"/>
      <c r="BB41" s="452"/>
      <c r="BC41" s="605"/>
      <c r="BD41" s="310"/>
      <c r="BH41" s="396" t="s">
        <v>31</v>
      </c>
      <c r="BI41" s="397">
        <v>1.2</v>
      </c>
      <c r="BJ41" s="398" t="s">
        <v>121</v>
      </c>
      <c r="BK41" s="394">
        <v>1</v>
      </c>
      <c r="BL41" s="349"/>
      <c r="BM41" s="349"/>
      <c r="BN41" s="350"/>
      <c r="BO41" s="350"/>
      <c r="BP41" s="347"/>
      <c r="BQ41" s="348"/>
      <c r="BR41" s="350"/>
      <c r="BS41" s="350"/>
      <c r="BT41" s="350"/>
      <c r="BU41" s="350"/>
      <c r="BV41" s="350"/>
      <c r="BW41" s="350"/>
      <c r="BX41" s="452"/>
      <c r="BY41" s="748"/>
      <c r="BZ41" s="748"/>
      <c r="CA41" s="748"/>
      <c r="CB41" s="748"/>
      <c r="CC41" s="748"/>
      <c r="CD41" s="748"/>
      <c r="CE41" s="746"/>
      <c r="CF41" s="488" t="s">
        <v>480</v>
      </c>
      <c r="CG41" s="489">
        <v>1.1000000000000001</v>
      </c>
      <c r="CH41" s="497"/>
      <c r="CI41" s="399"/>
      <c r="CK41" s="399"/>
      <c r="CM41" s="399"/>
      <c r="CO41" s="399"/>
      <c r="CQ41" s="399"/>
      <c r="CR41" s="684"/>
      <c r="CS41" s="399"/>
      <c r="CT41" s="399"/>
    </row>
    <row r="42" spans="2:98" s="2" customFormat="1" ht="28.5" hidden="1" customHeight="1" x14ac:dyDescent="0.25">
      <c r="H42" s="512" t="s">
        <v>336</v>
      </c>
      <c r="I42" s="189" t="s">
        <v>357</v>
      </c>
      <c r="K42" s="320"/>
      <c r="L42" s="515" t="s">
        <v>512</v>
      </c>
      <c r="M42" s="517" t="s">
        <v>534</v>
      </c>
      <c r="N42" s="117"/>
      <c r="O42" s="637">
        <v>9.615384615384615</v>
      </c>
      <c r="P42" s="117" t="s">
        <v>545</v>
      </c>
      <c r="Q42" s="320"/>
      <c r="R42" s="117"/>
      <c r="S42" s="117"/>
      <c r="T42" s="117"/>
      <c r="U42" s="457"/>
      <c r="V42" s="646" t="s">
        <v>85</v>
      </c>
      <c r="W42" s="644">
        <f t="shared" si="74"/>
        <v>6.4577055000000003</v>
      </c>
      <c r="X42" s="615" t="s">
        <v>11</v>
      </c>
      <c r="Y42" s="615" t="s">
        <v>134</v>
      </c>
      <c r="Z42" s="615" t="s">
        <v>104</v>
      </c>
      <c r="AA42" s="616">
        <v>8.599999999999999E-5</v>
      </c>
      <c r="AB42" s="617">
        <v>0.52325581395348797</v>
      </c>
      <c r="AC42" s="618" t="s">
        <v>336</v>
      </c>
      <c r="AD42" s="614"/>
      <c r="AE42" s="608"/>
      <c r="AF42" s="624"/>
      <c r="AG42" s="608"/>
      <c r="AH42" s="620"/>
      <c r="AI42" s="608"/>
      <c r="AJ42" s="608"/>
      <c r="AK42" s="512" t="str">
        <f t="shared" si="75"/>
        <v>Lámparas LED</v>
      </c>
      <c r="AL42" s="654" t="s">
        <v>85</v>
      </c>
      <c r="AM42" s="655">
        <f t="shared" si="76"/>
        <v>6.4577055000000003</v>
      </c>
      <c r="AN42" s="650" t="s">
        <v>134</v>
      </c>
      <c r="AO42" s="650" t="s">
        <v>11</v>
      </c>
      <c r="AP42" s="603"/>
      <c r="AQ42" s="452"/>
      <c r="AR42" s="452"/>
      <c r="AS42" s="452"/>
      <c r="AT42" s="452"/>
      <c r="AU42" s="621"/>
      <c r="AV42" s="452"/>
      <c r="AW42" s="621"/>
      <c r="AX42" s="603"/>
      <c r="AY42" s="452"/>
      <c r="AZ42" s="452"/>
      <c r="BA42" s="452"/>
      <c r="BB42" s="452"/>
      <c r="BC42" s="605"/>
      <c r="BD42" s="310"/>
      <c r="BH42" s="396" t="s">
        <v>32</v>
      </c>
      <c r="BI42" s="397">
        <v>1.1599999999999999</v>
      </c>
      <c r="BL42" s="349"/>
      <c r="BM42" s="349"/>
      <c r="BN42" s="350"/>
      <c r="BO42" s="350"/>
      <c r="BP42" s="347"/>
      <c r="BQ42" s="348"/>
      <c r="BR42" s="350"/>
      <c r="BS42" s="350"/>
      <c r="BT42" s="350"/>
      <c r="BU42" s="350"/>
      <c r="BV42" s="350"/>
      <c r="BW42" s="350"/>
      <c r="BX42" s="452"/>
      <c r="BY42" s="748"/>
      <c r="BZ42" s="748"/>
      <c r="CA42" s="748"/>
      <c r="CB42" s="748"/>
      <c r="CC42" s="748"/>
      <c r="CD42" s="748"/>
      <c r="CE42" s="746"/>
      <c r="CF42" s="488" t="s">
        <v>481</v>
      </c>
      <c r="CG42" s="489">
        <v>1.25</v>
      </c>
      <c r="CH42" s="497"/>
      <c r="CI42" s="399"/>
      <c r="CK42" s="399"/>
      <c r="CM42" s="399"/>
      <c r="CO42" s="399"/>
      <c r="CQ42" s="399"/>
      <c r="CR42" s="684"/>
      <c r="CS42" s="399"/>
      <c r="CT42" s="399"/>
    </row>
    <row r="43" spans="2:98" s="2" customFormat="1" ht="30.75" hidden="1" customHeight="1" x14ac:dyDescent="0.25">
      <c r="H43" s="512" t="s">
        <v>337</v>
      </c>
      <c r="I43" s="189" t="s">
        <v>358</v>
      </c>
      <c r="K43" s="320"/>
      <c r="L43" s="515" t="s">
        <v>512</v>
      </c>
      <c r="M43" s="517" t="s">
        <v>534</v>
      </c>
      <c r="N43" s="117"/>
      <c r="O43" s="637">
        <v>9.615384615384615</v>
      </c>
      <c r="P43" s="117" t="s">
        <v>545</v>
      </c>
      <c r="Q43" s="320"/>
      <c r="R43" s="117"/>
      <c r="S43" s="117"/>
      <c r="T43" s="117"/>
      <c r="U43" s="457"/>
      <c r="V43" s="646" t="s">
        <v>85</v>
      </c>
      <c r="W43" s="644">
        <f t="shared" si="74"/>
        <v>6.4577055000000003</v>
      </c>
      <c r="X43" s="615" t="s">
        <v>11</v>
      </c>
      <c r="Y43" s="615" t="s">
        <v>134</v>
      </c>
      <c r="Z43" s="615" t="s">
        <v>104</v>
      </c>
      <c r="AA43" s="616">
        <v>8.599999999999999E-5</v>
      </c>
      <c r="AB43" s="617">
        <v>0.52325581395348797</v>
      </c>
      <c r="AC43" s="618" t="s">
        <v>337</v>
      </c>
      <c r="AD43" s="614"/>
      <c r="AE43" s="608"/>
      <c r="AF43" s="608"/>
      <c r="AG43" s="608"/>
      <c r="AH43" s="620"/>
      <c r="AI43" s="608"/>
      <c r="AJ43" s="608"/>
      <c r="AK43" s="512" t="str">
        <f t="shared" si="75"/>
        <v>Tubos LED</v>
      </c>
      <c r="AL43" s="654" t="s">
        <v>85</v>
      </c>
      <c r="AM43" s="655">
        <f t="shared" si="76"/>
        <v>6.4577055000000003</v>
      </c>
      <c r="AN43" s="650" t="s">
        <v>134</v>
      </c>
      <c r="AO43" s="650" t="s">
        <v>11</v>
      </c>
      <c r="AP43" s="603"/>
      <c r="AQ43" s="452"/>
      <c r="AR43" s="452"/>
      <c r="AS43" s="452"/>
      <c r="AT43" s="452"/>
      <c r="AU43" s="621"/>
      <c r="AV43" s="452"/>
      <c r="AW43" s="621"/>
      <c r="AX43" s="603"/>
      <c r="AY43" s="452"/>
      <c r="AZ43" s="452"/>
      <c r="BA43" s="452"/>
      <c r="BB43" s="452"/>
      <c r="BC43" s="605"/>
      <c r="BD43" s="310"/>
      <c r="BH43" s="396" t="s">
        <v>33</v>
      </c>
      <c r="BI43" s="397">
        <v>1.1599999999999999</v>
      </c>
      <c r="BL43" s="349"/>
      <c r="BM43" s="349"/>
      <c r="BN43" s="350"/>
      <c r="BO43" s="350"/>
      <c r="BP43" s="347"/>
      <c r="BQ43" s="348"/>
      <c r="BR43" s="350"/>
      <c r="BS43" s="350"/>
      <c r="BT43" s="350"/>
      <c r="BU43" s="350"/>
      <c r="BV43" s="350"/>
      <c r="BW43" s="350"/>
      <c r="BX43" s="452"/>
      <c r="BY43" s="748"/>
      <c r="BZ43" s="748"/>
      <c r="CA43" s="748"/>
      <c r="CB43" s="748"/>
      <c r="CC43" s="748"/>
      <c r="CD43" s="748"/>
      <c r="CE43" s="746"/>
      <c r="CF43" s="488" t="s">
        <v>482</v>
      </c>
      <c r="CG43" s="489">
        <v>1.5</v>
      </c>
      <c r="CH43" s="497"/>
      <c r="CI43" s="399"/>
      <c r="CK43" s="399"/>
      <c r="CM43" s="399"/>
      <c r="CO43" s="399"/>
      <c r="CQ43" s="399"/>
      <c r="CR43" s="684"/>
      <c r="CS43" s="399"/>
      <c r="CT43" s="399"/>
    </row>
    <row r="44" spans="2:98" s="2" customFormat="1" ht="141" hidden="1" x14ac:dyDescent="0.25">
      <c r="H44" s="512" t="s">
        <v>423</v>
      </c>
      <c r="I44" s="189" t="s">
        <v>441</v>
      </c>
      <c r="K44" s="320"/>
      <c r="L44" s="515" t="s">
        <v>69</v>
      </c>
      <c r="M44" s="516" t="s">
        <v>517</v>
      </c>
      <c r="N44" s="117"/>
      <c r="O44" s="636">
        <v>12</v>
      </c>
      <c r="P44" s="320"/>
      <c r="Q44" s="320"/>
      <c r="R44" s="117"/>
      <c r="S44" s="117"/>
      <c r="T44" s="117"/>
      <c r="U44" s="457"/>
      <c r="V44" s="646" t="s">
        <v>119</v>
      </c>
      <c r="W44" s="644">
        <v>70.81</v>
      </c>
      <c r="X44" s="615" t="s">
        <v>15</v>
      </c>
      <c r="Y44" s="615" t="s">
        <v>135</v>
      </c>
      <c r="Z44" s="615" t="s">
        <v>103</v>
      </c>
      <c r="AA44" s="616">
        <v>7.8470000000000005E-4</v>
      </c>
      <c r="AB44" s="617">
        <v>2.9020067999999997</v>
      </c>
      <c r="AC44" s="618" t="s">
        <v>423</v>
      </c>
      <c r="AD44" s="614"/>
      <c r="AE44" s="608"/>
      <c r="AF44" s="608"/>
      <c r="AG44" s="608"/>
      <c r="AH44" s="620"/>
      <c r="AI44" s="608"/>
      <c r="AJ44" s="608"/>
      <c r="AK44" s="512" t="str">
        <f t="shared" si="75"/>
        <v>Vehículos livianos eléctricos puros categorías M1, N1 y N2 con batería de litio o superior densidad de energía gravimétrica</v>
      </c>
      <c r="AL44" s="654" t="s">
        <v>549</v>
      </c>
      <c r="AM44" s="655">
        <v>2.0939999999999999</v>
      </c>
      <c r="AN44" s="650" t="s">
        <v>134</v>
      </c>
      <c r="AO44" s="650" t="s">
        <v>11</v>
      </c>
      <c r="AP44" s="603"/>
      <c r="AQ44" s="452"/>
      <c r="AR44" s="452"/>
      <c r="AS44" s="452"/>
      <c r="AT44" s="452"/>
      <c r="AU44" s="621"/>
      <c r="AV44" s="452"/>
      <c r="AW44" s="621"/>
      <c r="AX44" s="603"/>
      <c r="AY44" s="452"/>
      <c r="AZ44" s="452"/>
      <c r="BA44" s="452"/>
      <c r="BB44" s="452"/>
      <c r="BC44" s="605"/>
      <c r="BD44" s="310"/>
      <c r="BH44" s="396" t="s">
        <v>34</v>
      </c>
      <c r="BI44" s="397">
        <v>1.1599999999999999</v>
      </c>
      <c r="BL44" s="349"/>
      <c r="BM44" s="349"/>
      <c r="BN44" s="350"/>
      <c r="BO44" s="350"/>
      <c r="BP44" s="347"/>
      <c r="BQ44" s="348"/>
      <c r="BR44" s="350"/>
      <c r="BS44" s="350"/>
      <c r="BT44" s="350"/>
      <c r="BU44" s="350"/>
      <c r="BV44" s="350"/>
      <c r="BW44" s="350"/>
      <c r="BX44" s="452"/>
      <c r="BY44" s="452"/>
      <c r="BZ44" s="452"/>
      <c r="CA44" s="452"/>
      <c r="CB44" s="452"/>
      <c r="CC44" s="452"/>
      <c r="CD44" s="452"/>
      <c r="CE44" s="452"/>
      <c r="CF44" s="452"/>
      <c r="CG44" s="452"/>
      <c r="CH44" s="497"/>
      <c r="CI44" s="399"/>
      <c r="CK44" s="399"/>
      <c r="CM44" s="399"/>
      <c r="CO44" s="399"/>
      <c r="CQ44" s="399"/>
      <c r="CR44" s="684"/>
      <c r="CS44" s="399"/>
      <c r="CT44" s="399"/>
    </row>
    <row r="45" spans="2:98" s="2" customFormat="1" ht="141" hidden="1" x14ac:dyDescent="0.25">
      <c r="H45" s="512" t="s">
        <v>424</v>
      </c>
      <c r="I45" s="189" t="s">
        <v>441</v>
      </c>
      <c r="K45" s="320"/>
      <c r="L45" s="515" t="s">
        <v>69</v>
      </c>
      <c r="M45" s="516" t="s">
        <v>517</v>
      </c>
      <c r="N45" s="117"/>
      <c r="O45" s="636">
        <v>7</v>
      </c>
      <c r="P45" s="320"/>
      <c r="Q45" s="320"/>
      <c r="R45" s="117"/>
      <c r="S45" s="117"/>
      <c r="T45" s="117"/>
      <c r="U45" s="457"/>
      <c r="V45" s="646" t="s">
        <v>119</v>
      </c>
      <c r="W45" s="644">
        <v>70.81</v>
      </c>
      <c r="X45" s="615" t="s">
        <v>15</v>
      </c>
      <c r="Y45" s="615" t="s">
        <v>135</v>
      </c>
      <c r="Z45" s="615" t="s">
        <v>103</v>
      </c>
      <c r="AA45" s="616">
        <v>7.8470000000000005E-4</v>
      </c>
      <c r="AB45" s="617">
        <v>2.9020067999999997</v>
      </c>
      <c r="AC45" s="618" t="s">
        <v>424</v>
      </c>
      <c r="AD45" s="614"/>
      <c r="AE45" s="608"/>
      <c r="AF45" s="608"/>
      <c r="AG45" s="608"/>
      <c r="AH45" s="620"/>
      <c r="AI45" s="608"/>
      <c r="AJ45" s="608"/>
      <c r="AK45" s="512" t="str">
        <f t="shared" si="75"/>
        <v>Otros vehículos livianos eléctricos puros de 4 o 3 ruedas con batería de litio o superior densidad de energía gravimétrica</v>
      </c>
      <c r="AL45" s="654" t="s">
        <v>549</v>
      </c>
      <c r="AM45" s="655">
        <v>2.0939999999999999</v>
      </c>
      <c r="AN45" s="650" t="s">
        <v>134</v>
      </c>
      <c r="AO45" s="650" t="s">
        <v>11</v>
      </c>
      <c r="AP45" s="603"/>
      <c r="AQ45" s="452"/>
      <c r="AR45" s="452"/>
      <c r="AS45" s="452"/>
      <c r="AT45" s="452"/>
      <c r="AU45" s="621"/>
      <c r="AV45" s="452"/>
      <c r="AW45" s="621"/>
      <c r="AX45" s="603"/>
      <c r="AY45" s="452"/>
      <c r="AZ45" s="452"/>
      <c r="BA45" s="452"/>
      <c r="BB45" s="452"/>
      <c r="BC45" s="605"/>
      <c r="BD45" s="310"/>
      <c r="BH45" s="396" t="s">
        <v>35</v>
      </c>
      <c r="BI45" s="397">
        <v>1.1599999999999999</v>
      </c>
      <c r="BL45" s="349"/>
      <c r="BM45" s="349"/>
      <c r="BN45" s="350"/>
      <c r="BO45" s="350"/>
      <c r="BP45" s="347"/>
      <c r="BQ45" s="348"/>
      <c r="BR45" s="350"/>
      <c r="BS45" s="350"/>
      <c r="BT45" s="350"/>
      <c r="BU45" s="350"/>
      <c r="BV45" s="350"/>
      <c r="BW45" s="350"/>
      <c r="BX45" s="452"/>
      <c r="BY45" s="452"/>
      <c r="BZ45" s="452"/>
      <c r="CA45" s="452"/>
      <c r="CB45" s="452"/>
      <c r="CC45" s="452"/>
      <c r="CD45" s="452"/>
      <c r="CE45" s="452"/>
      <c r="CF45" s="452"/>
      <c r="CG45" s="452"/>
      <c r="CH45" s="495"/>
      <c r="CI45" s="399"/>
      <c r="CJ45" s="37"/>
      <c r="CK45" s="399"/>
      <c r="CM45" s="399"/>
      <c r="CO45" s="399"/>
      <c r="CQ45" s="399"/>
      <c r="CR45" s="684"/>
      <c r="CS45" s="399"/>
      <c r="CT45" s="399"/>
    </row>
    <row r="46" spans="2:98" s="2" customFormat="1" ht="128.25" hidden="1" x14ac:dyDescent="0.25">
      <c r="E46" s="277"/>
      <c r="H46" s="514" t="s">
        <v>556</v>
      </c>
      <c r="I46" s="189" t="s">
        <v>441</v>
      </c>
      <c r="K46" s="320"/>
      <c r="L46" s="515" t="s">
        <v>69</v>
      </c>
      <c r="M46" s="516" t="s">
        <v>513</v>
      </c>
      <c r="N46" s="117"/>
      <c r="O46" s="636">
        <v>7</v>
      </c>
      <c r="P46" s="320"/>
      <c r="Q46" s="320"/>
      <c r="R46" s="117"/>
      <c r="S46" s="117"/>
      <c r="T46" s="117"/>
      <c r="U46" s="457"/>
      <c r="V46" s="646" t="s">
        <v>119</v>
      </c>
      <c r="W46" s="644">
        <v>70.81</v>
      </c>
      <c r="X46" s="615" t="s">
        <v>15</v>
      </c>
      <c r="Y46" s="615" t="s">
        <v>135</v>
      </c>
      <c r="Z46" s="615" t="s">
        <v>103</v>
      </c>
      <c r="AA46" s="616">
        <v>7.8470000000000005E-4</v>
      </c>
      <c r="AB46" s="617">
        <v>2.9020067999999997</v>
      </c>
      <c r="AC46" s="625" t="s">
        <v>462</v>
      </c>
      <c r="AD46" s="614"/>
      <c r="AE46" s="608"/>
      <c r="AF46" s="608"/>
      <c r="AG46" s="608"/>
      <c r="AH46" s="620"/>
      <c r="AI46" s="608"/>
      <c r="AJ46" s="608"/>
      <c r="AK46" s="512" t="str">
        <f t="shared" si="75"/>
        <v xml:space="preserve">Motocicleta eléctrica pura con batería de litio o superior densidad de energía gravimétrica, empadronadas </v>
      </c>
      <c r="AL46" s="654" t="s">
        <v>549</v>
      </c>
      <c r="AM46" s="655">
        <v>2.0939999999999999</v>
      </c>
      <c r="AN46" s="650" t="s">
        <v>134</v>
      </c>
      <c r="AO46" s="650" t="s">
        <v>11</v>
      </c>
      <c r="AP46" s="603"/>
      <c r="AQ46" s="452"/>
      <c r="AR46" s="452"/>
      <c r="AS46" s="452"/>
      <c r="AT46" s="452"/>
      <c r="AU46" s="621"/>
      <c r="AV46" s="452"/>
      <c r="AW46" s="621"/>
      <c r="AX46" s="603"/>
      <c r="AY46" s="452"/>
      <c r="AZ46" s="452"/>
      <c r="BA46" s="452"/>
      <c r="BB46" s="452"/>
      <c r="BC46" s="605"/>
      <c r="BD46" s="310"/>
      <c r="BH46" s="396" t="s">
        <v>36</v>
      </c>
      <c r="BI46" s="397">
        <v>1</v>
      </c>
      <c r="BL46" s="349"/>
      <c r="BM46" s="349"/>
      <c r="BN46" s="350"/>
      <c r="BO46" s="350"/>
      <c r="BP46" s="347"/>
      <c r="BQ46" s="348"/>
      <c r="BR46" s="350"/>
      <c r="BS46" s="350"/>
      <c r="BT46" s="350"/>
      <c r="BU46" s="350"/>
      <c r="BV46" s="350"/>
      <c r="BW46" s="350"/>
      <c r="BX46" s="452"/>
      <c r="BY46" s="452"/>
      <c r="BZ46" s="452"/>
      <c r="CA46" s="452"/>
      <c r="CB46" s="452"/>
      <c r="CC46" s="452"/>
      <c r="CD46" s="452"/>
      <c r="CE46" s="452"/>
      <c r="CF46" s="452"/>
      <c r="CG46" s="452"/>
      <c r="CH46" s="495"/>
      <c r="CI46" s="432"/>
      <c r="CK46" s="432"/>
      <c r="CM46" s="399"/>
      <c r="CO46" s="399"/>
      <c r="CQ46" s="399"/>
      <c r="CR46" s="684"/>
      <c r="CS46" s="399"/>
      <c r="CT46" s="399"/>
    </row>
    <row r="47" spans="2:98" s="2" customFormat="1" ht="153.75" hidden="1" x14ac:dyDescent="0.25">
      <c r="H47" s="512" t="s">
        <v>464</v>
      </c>
      <c r="I47" s="189" t="s">
        <v>441</v>
      </c>
      <c r="K47" s="320"/>
      <c r="L47" s="515" t="s">
        <v>69</v>
      </c>
      <c r="M47" s="516" t="s">
        <v>516</v>
      </c>
      <c r="N47" s="117"/>
      <c r="O47" s="636">
        <v>12</v>
      </c>
      <c r="P47" s="320"/>
      <c r="Q47" s="320"/>
      <c r="R47" s="117"/>
      <c r="S47" s="117"/>
      <c r="T47" s="117"/>
      <c r="U47" s="457"/>
      <c r="V47" s="646" t="s">
        <v>119</v>
      </c>
      <c r="W47" s="644">
        <v>70.81</v>
      </c>
      <c r="X47" s="615" t="s">
        <v>15</v>
      </c>
      <c r="Y47" s="615" t="s">
        <v>135</v>
      </c>
      <c r="Z47" s="615" t="s">
        <v>103</v>
      </c>
      <c r="AA47" s="616">
        <v>7.8470000000000005E-4</v>
      </c>
      <c r="AB47" s="617">
        <v>2.9020067999999997</v>
      </c>
      <c r="AC47" s="618" t="s">
        <v>464</v>
      </c>
      <c r="AD47" s="614"/>
      <c r="AE47" s="608"/>
      <c r="AF47" s="608"/>
      <c r="AG47" s="608"/>
      <c r="AH47" s="620"/>
      <c r="AI47" s="608"/>
      <c r="AJ47" s="608"/>
      <c r="AK47" s="512" t="str">
        <f t="shared" si="75"/>
        <v>Taxis, remises o transporte de pasajeros por aplicaciones eléctricos puros con batería de litio o superior densidad de energía gravimétrica</v>
      </c>
      <c r="AL47" s="654" t="s">
        <v>549</v>
      </c>
      <c r="AM47" s="655">
        <v>2.0939999999999999</v>
      </c>
      <c r="AN47" s="650" t="s">
        <v>134</v>
      </c>
      <c r="AO47" s="650" t="s">
        <v>11</v>
      </c>
      <c r="AP47" s="603"/>
      <c r="AQ47" s="452"/>
      <c r="AR47" s="452"/>
      <c r="AS47" s="452"/>
      <c r="AT47" s="452"/>
      <c r="AU47" s="621"/>
      <c r="AV47" s="452"/>
      <c r="AW47" s="621"/>
      <c r="AX47" s="603"/>
      <c r="AY47" s="452"/>
      <c r="AZ47" s="452"/>
      <c r="BA47" s="452"/>
      <c r="BB47" s="452"/>
      <c r="BC47" s="605"/>
      <c r="BD47" s="310"/>
      <c r="BH47" s="396" t="s">
        <v>37</v>
      </c>
      <c r="BI47" s="397">
        <v>1.2</v>
      </c>
      <c r="BL47" s="349"/>
      <c r="BM47" s="349"/>
      <c r="BN47" s="350"/>
      <c r="BO47" s="350"/>
      <c r="BP47" s="347"/>
      <c r="BQ47" s="348"/>
      <c r="BR47" s="350"/>
      <c r="BS47" s="350"/>
      <c r="BT47" s="350"/>
      <c r="BU47" s="350"/>
      <c r="BV47" s="350"/>
      <c r="BW47" s="350"/>
      <c r="BX47" s="452"/>
      <c r="BY47" s="452"/>
      <c r="BZ47" s="452"/>
      <c r="CA47" s="452"/>
      <c r="CB47" s="452"/>
      <c r="CC47" s="452"/>
      <c r="CD47" s="452"/>
      <c r="CE47" s="452"/>
      <c r="CF47" s="452"/>
      <c r="CG47" s="452"/>
      <c r="CH47" s="495"/>
      <c r="CI47" s="399"/>
      <c r="CK47" s="399"/>
      <c r="CM47" s="399"/>
      <c r="CO47" s="399"/>
      <c r="CQ47" s="399"/>
      <c r="CR47" s="684"/>
      <c r="CS47" s="399"/>
      <c r="CT47" s="399"/>
    </row>
    <row r="48" spans="2:98" s="2" customFormat="1" ht="25.5" hidden="1" x14ac:dyDescent="0.25">
      <c r="H48" s="7"/>
      <c r="I48" s="7"/>
      <c r="K48" s="320"/>
      <c r="L48" s="399"/>
      <c r="N48" s="117"/>
      <c r="O48" s="117"/>
      <c r="P48" s="320"/>
      <c r="Q48" s="320"/>
      <c r="R48" s="117"/>
      <c r="S48" s="117"/>
      <c r="T48" s="117"/>
      <c r="U48" s="457"/>
      <c r="V48" s="646" t="s">
        <v>549</v>
      </c>
      <c r="W48" s="655">
        <v>2.0939999999999999</v>
      </c>
      <c r="X48" s="615" t="s">
        <v>11</v>
      </c>
      <c r="Y48" s="615" t="s">
        <v>134</v>
      </c>
      <c r="Z48" s="615" t="s">
        <v>104</v>
      </c>
      <c r="AA48" s="616">
        <v>8.599999999999999E-5</v>
      </c>
      <c r="AB48" s="617">
        <v>0.52325581395348797</v>
      </c>
      <c r="AC48" s="646"/>
      <c r="AD48" s="646"/>
      <c r="AE48" s="608"/>
      <c r="AF48" s="608"/>
      <c r="AG48" s="608"/>
      <c r="AH48" s="608"/>
      <c r="AI48" s="608"/>
      <c r="AJ48" s="608"/>
      <c r="AK48" s="608"/>
      <c r="AL48" s="609"/>
      <c r="AM48" s="621"/>
      <c r="AN48" s="452"/>
      <c r="AO48" s="621"/>
      <c r="AP48" s="603"/>
      <c r="AQ48" s="452"/>
      <c r="AR48" s="452"/>
      <c r="AS48" s="452"/>
      <c r="AT48" s="452"/>
      <c r="AU48" s="621"/>
      <c r="AV48" s="452"/>
      <c r="AW48" s="621"/>
      <c r="AX48" s="603"/>
      <c r="AY48" s="452"/>
      <c r="AZ48" s="452"/>
      <c r="BA48" s="452"/>
      <c r="BB48" s="452"/>
      <c r="BC48" s="605"/>
      <c r="BD48" s="310"/>
      <c r="BH48" s="396" t="s">
        <v>38</v>
      </c>
      <c r="BI48" s="397">
        <v>1.1599999999999999</v>
      </c>
      <c r="BJ48" s="399"/>
      <c r="BK48" s="399"/>
      <c r="BL48" s="349"/>
      <c r="BM48" s="349"/>
      <c r="BN48" s="350"/>
      <c r="BO48" s="350"/>
      <c r="BP48" s="347"/>
      <c r="BQ48" s="348"/>
      <c r="BR48" s="350"/>
      <c r="BS48" s="350"/>
      <c r="BT48" s="350"/>
      <c r="BU48" s="350"/>
      <c r="BV48" s="350"/>
      <c r="BW48" s="350"/>
      <c r="BX48" s="452"/>
      <c r="BY48" s="452"/>
      <c r="BZ48" s="452"/>
      <c r="CA48" s="452"/>
      <c r="CB48" s="452"/>
      <c r="CC48" s="452"/>
      <c r="CD48" s="452"/>
      <c r="CE48" s="452"/>
      <c r="CF48" s="452"/>
      <c r="CG48" s="452"/>
      <c r="CH48" s="495"/>
      <c r="CI48" s="399"/>
      <c r="CK48" s="399"/>
      <c r="CM48" s="399"/>
      <c r="CO48" s="399"/>
      <c r="CQ48" s="399"/>
      <c r="CR48" s="684"/>
      <c r="CS48" s="399"/>
      <c r="CT48" s="399"/>
    </row>
    <row r="49" spans="2:98" s="2" customFormat="1" hidden="1" x14ac:dyDescent="0.25">
      <c r="H49" s="7"/>
      <c r="I49" s="7"/>
      <c r="K49" s="320"/>
      <c r="L49" s="399"/>
      <c r="M49" s="399"/>
      <c r="N49" s="117"/>
      <c r="O49" s="117"/>
      <c r="P49" s="320"/>
      <c r="Q49" s="320"/>
      <c r="R49" s="117"/>
      <c r="S49" s="117"/>
      <c r="T49" s="117"/>
      <c r="U49" s="457"/>
      <c r="V49" s="627"/>
      <c r="W49" s="452"/>
      <c r="X49" s="452"/>
      <c r="Y49" s="452"/>
      <c r="Z49" s="452"/>
      <c r="AA49" s="452"/>
      <c r="AB49" s="452"/>
      <c r="AC49" s="452"/>
      <c r="AD49" s="608"/>
      <c r="AE49" s="608"/>
      <c r="AF49" s="608"/>
      <c r="AG49" s="608"/>
      <c r="AH49" s="608"/>
      <c r="AI49" s="608"/>
      <c r="AJ49" s="608"/>
      <c r="AK49" s="608"/>
      <c r="AL49"/>
      <c r="AM49"/>
      <c r="AN49"/>
      <c r="AO49"/>
      <c r="AP49"/>
      <c r="AQ49"/>
      <c r="AR49"/>
      <c r="AS49"/>
      <c r="AT49"/>
      <c r="AU49"/>
      <c r="AV49"/>
      <c r="AW49" s="621"/>
      <c r="AX49" s="603"/>
      <c r="AY49" s="452"/>
      <c r="AZ49" s="452"/>
      <c r="BA49" s="452"/>
      <c r="BB49" s="452"/>
      <c r="BC49" s="605"/>
      <c r="BD49" s="310"/>
      <c r="BH49" s="396" t="s">
        <v>39</v>
      </c>
      <c r="BI49" s="397">
        <v>1.2</v>
      </c>
      <c r="BJ49" s="399"/>
      <c r="BK49" s="399"/>
      <c r="BL49" s="349"/>
      <c r="BM49" s="349"/>
      <c r="BN49" s="350"/>
      <c r="BO49" s="350"/>
      <c r="BP49" s="347"/>
      <c r="BQ49" s="348"/>
      <c r="BR49" s="350"/>
      <c r="BS49" s="350"/>
      <c r="BT49" s="350"/>
      <c r="BU49" s="350"/>
      <c r="BV49" s="350"/>
      <c r="BW49" s="350"/>
      <c r="BX49" s="452"/>
      <c r="BY49" s="452"/>
      <c r="BZ49" s="452"/>
      <c r="CA49" s="452"/>
      <c r="CB49" s="452"/>
      <c r="CC49" s="452"/>
      <c r="CD49" s="452"/>
      <c r="CE49" s="452"/>
      <c r="CF49" s="452"/>
      <c r="CG49" s="452"/>
      <c r="CH49" s="495"/>
      <c r="CI49" s="399"/>
      <c r="CK49" s="399"/>
      <c r="CM49" s="399"/>
      <c r="CO49" s="399"/>
      <c r="CQ49" s="399"/>
      <c r="CR49" s="684"/>
      <c r="CS49" s="399"/>
      <c r="CT49" s="399"/>
    </row>
    <row r="50" spans="2:98" s="2" customFormat="1" hidden="1" x14ac:dyDescent="0.25">
      <c r="H50" s="7"/>
      <c r="I50" s="7"/>
      <c r="K50" s="320"/>
      <c r="L50" s="399"/>
      <c r="M50" s="399"/>
      <c r="N50" s="117"/>
      <c r="O50" s="117"/>
      <c r="P50" s="320"/>
      <c r="Q50" s="320"/>
      <c r="R50" s="117"/>
      <c r="S50" s="117"/>
      <c r="T50" s="117"/>
      <c r="U50" s="457"/>
      <c r="V50" s="627"/>
      <c r="W50" s="452"/>
      <c r="X50" s="452"/>
      <c r="Y50" s="452"/>
      <c r="Z50" s="452"/>
      <c r="AA50" s="452"/>
      <c r="AB50" s="452"/>
      <c r="AC50" s="452"/>
      <c r="AD50" s="608"/>
      <c r="AE50" s="608"/>
      <c r="AF50" s="608"/>
      <c r="AG50" s="608"/>
      <c r="AH50" s="608"/>
      <c r="AI50" s="608"/>
      <c r="AJ50" s="608"/>
      <c r="AK50" s="608"/>
      <c r="AL50"/>
      <c r="AM50"/>
      <c r="AN50"/>
      <c r="AO50"/>
      <c r="AP50"/>
      <c r="AQ50"/>
      <c r="AR50"/>
      <c r="AS50"/>
      <c r="AT50"/>
      <c r="AU50"/>
      <c r="AV50"/>
      <c r="AW50" s="621"/>
      <c r="AX50" s="603"/>
      <c r="AY50" s="452"/>
      <c r="AZ50" s="452"/>
      <c r="BA50" s="452"/>
      <c r="BB50" s="452"/>
      <c r="BC50" s="605"/>
      <c r="BD50" s="310"/>
      <c r="BH50" s="396" t="s">
        <v>40</v>
      </c>
      <c r="BI50" s="397">
        <v>1.1599999999999999</v>
      </c>
      <c r="BJ50" s="399"/>
      <c r="BK50" s="399"/>
      <c r="BL50" s="349"/>
      <c r="BM50" s="349"/>
      <c r="BN50" s="350"/>
      <c r="BO50" s="350"/>
      <c r="BP50" s="347"/>
      <c r="BQ50" s="348"/>
      <c r="BR50" s="350"/>
      <c r="BS50" s="350"/>
      <c r="BT50" s="350"/>
      <c r="BU50" s="350"/>
      <c r="BV50" s="350"/>
      <c r="BW50" s="350"/>
      <c r="BX50" s="452"/>
      <c r="BY50" s="452"/>
      <c r="BZ50" s="452"/>
      <c r="CA50" s="452"/>
      <c r="CB50" s="452"/>
      <c r="CC50" s="452"/>
      <c r="CD50" s="452"/>
      <c r="CE50" s="452"/>
      <c r="CF50" s="452"/>
      <c r="CG50" s="452"/>
      <c r="CH50" s="495"/>
      <c r="CI50" s="399"/>
      <c r="CK50" s="399"/>
      <c r="CM50" s="399"/>
      <c r="CO50" s="399"/>
      <c r="CQ50" s="399"/>
      <c r="CR50" s="684"/>
      <c r="CS50" s="399"/>
      <c r="CT50" s="399"/>
    </row>
    <row r="51" spans="2:98" s="2" customFormat="1" hidden="1" x14ac:dyDescent="0.25">
      <c r="H51" s="7"/>
      <c r="I51" s="7"/>
      <c r="K51" s="320"/>
      <c r="L51" s="399"/>
      <c r="N51" s="117"/>
      <c r="O51" s="117"/>
      <c r="P51" s="320"/>
      <c r="Q51" s="320"/>
      <c r="R51" s="117"/>
      <c r="S51" s="117"/>
      <c r="T51" s="117"/>
      <c r="U51" s="457"/>
      <c r="V51" s="627"/>
      <c r="W51" s="452"/>
      <c r="X51" s="452"/>
      <c r="Y51" s="452"/>
      <c r="Z51" s="452"/>
      <c r="AA51" s="452"/>
      <c r="AB51" s="452"/>
      <c r="AC51" s="452"/>
      <c r="AD51" s="608"/>
      <c r="AE51" s="608"/>
      <c r="AF51" s="608"/>
      <c r="AG51" s="608"/>
      <c r="AH51" s="608"/>
      <c r="AI51" s="608"/>
      <c r="AJ51" s="608"/>
      <c r="AK51" s="608"/>
      <c r="AL51"/>
      <c r="AM51"/>
      <c r="AN51"/>
      <c r="AO51"/>
      <c r="AP51"/>
      <c r="AQ51"/>
      <c r="AR51"/>
      <c r="AS51"/>
      <c r="AT51"/>
      <c r="AU51"/>
      <c r="AV51"/>
      <c r="AW51" s="621"/>
      <c r="AX51" s="603"/>
      <c r="AY51" s="452"/>
      <c r="AZ51" s="452"/>
      <c r="BA51" s="452"/>
      <c r="BB51" s="452"/>
      <c r="BC51" s="605"/>
      <c r="BD51" s="310"/>
      <c r="BH51" s="396" t="s">
        <v>41</v>
      </c>
      <c r="BI51" s="397">
        <v>1.2</v>
      </c>
      <c r="BJ51" s="399"/>
      <c r="BK51" s="399"/>
      <c r="BL51" s="349"/>
      <c r="BM51" s="349"/>
      <c r="BN51" s="350"/>
      <c r="BO51" s="350"/>
      <c r="BP51" s="347"/>
      <c r="BQ51" s="348"/>
      <c r="BR51" s="350"/>
      <c r="BS51" s="350"/>
      <c r="BT51" s="350"/>
      <c r="BU51" s="350"/>
      <c r="BV51" s="350"/>
      <c r="BW51" s="350"/>
      <c r="BX51" s="452"/>
      <c r="BY51" s="452"/>
      <c r="BZ51" s="452"/>
      <c r="CA51" s="452"/>
      <c r="CB51" s="452"/>
      <c r="CC51" s="452"/>
      <c r="CD51" s="452"/>
      <c r="CE51" s="452"/>
      <c r="CF51" s="452"/>
      <c r="CG51" s="452"/>
      <c r="CH51" s="495"/>
      <c r="CI51" s="399"/>
      <c r="CK51" s="399"/>
      <c r="CM51" s="399"/>
      <c r="CO51" s="399"/>
      <c r="CQ51" s="399"/>
      <c r="CR51" s="684"/>
      <c r="CS51" s="399"/>
      <c r="CT51" s="399"/>
    </row>
    <row r="52" spans="2:98" s="2" customFormat="1" hidden="1" x14ac:dyDescent="0.25">
      <c r="H52" s="7"/>
      <c r="I52" s="7"/>
      <c r="K52" s="320"/>
      <c r="L52" s="399"/>
      <c r="M52" s="399"/>
      <c r="N52" s="117"/>
      <c r="O52" s="117"/>
      <c r="P52" s="320"/>
      <c r="Q52" s="320"/>
      <c r="R52" s="117"/>
      <c r="S52" s="117"/>
      <c r="T52" s="117"/>
      <c r="U52" s="457"/>
      <c r="V52" s="627"/>
      <c r="W52" s="452"/>
      <c r="X52" s="452"/>
      <c r="Y52" s="452"/>
      <c r="Z52" s="452"/>
      <c r="AA52" s="452"/>
      <c r="AB52" s="452"/>
      <c r="AC52" s="452"/>
      <c r="AD52" s="608"/>
      <c r="AE52" s="626"/>
      <c r="AF52" s="608"/>
      <c r="AG52" s="608"/>
      <c r="AH52" s="608"/>
      <c r="AI52" s="608"/>
      <c r="AJ52" s="608"/>
      <c r="AK52" s="608"/>
      <c r="AL52"/>
      <c r="AM52"/>
      <c r="AN52"/>
      <c r="AO52"/>
      <c r="AP52"/>
      <c r="AQ52"/>
      <c r="AR52"/>
      <c r="AS52"/>
      <c r="AT52"/>
      <c r="AU52"/>
      <c r="AV52"/>
      <c r="AW52" s="621"/>
      <c r="AX52" s="603"/>
      <c r="AY52" s="452"/>
      <c r="AZ52" s="452"/>
      <c r="BA52" s="452"/>
      <c r="BB52" s="452"/>
      <c r="BC52" s="605"/>
      <c r="BD52" s="310"/>
      <c r="BH52" s="396" t="s">
        <v>42</v>
      </c>
      <c r="BI52" s="397">
        <v>1.1599999999999999</v>
      </c>
      <c r="BJ52" s="399"/>
      <c r="BK52" s="399"/>
      <c r="BL52" s="349"/>
      <c r="BM52" s="349"/>
      <c r="BN52" s="350"/>
      <c r="BO52" s="350"/>
      <c r="BP52" s="347"/>
      <c r="BQ52" s="348"/>
      <c r="BR52" s="350"/>
      <c r="BS52" s="350"/>
      <c r="BT52" s="350"/>
      <c r="BU52" s="350"/>
      <c r="BV52" s="350"/>
      <c r="BW52" s="350"/>
      <c r="BX52" s="452"/>
      <c r="BY52" s="452"/>
      <c r="BZ52" s="452"/>
      <c r="CA52" s="452"/>
      <c r="CB52" s="452"/>
      <c r="CC52" s="452"/>
      <c r="CD52" s="452"/>
      <c r="CE52" s="452"/>
      <c r="CF52" s="452"/>
      <c r="CG52" s="452"/>
      <c r="CH52" s="495"/>
      <c r="CI52" s="399"/>
      <c r="CK52" s="399"/>
      <c r="CM52" s="399"/>
      <c r="CO52" s="399"/>
      <c r="CQ52" s="399"/>
      <c r="CR52" s="684"/>
      <c r="CS52" s="399"/>
      <c r="CT52" s="399"/>
    </row>
    <row r="53" spans="2:98" s="2" customFormat="1" hidden="1" x14ac:dyDescent="0.25">
      <c r="H53" s="7"/>
      <c r="I53" s="7"/>
      <c r="K53" s="320"/>
      <c r="L53" s="399"/>
      <c r="M53" s="399"/>
      <c r="N53" s="117"/>
      <c r="O53" s="117"/>
      <c r="P53" s="320"/>
      <c r="Q53" s="320"/>
      <c r="R53" s="117"/>
      <c r="S53" s="117"/>
      <c r="T53" s="117"/>
      <c r="U53" s="457"/>
      <c r="V53" s="627"/>
      <c r="W53" s="452"/>
      <c r="X53" s="458"/>
      <c r="Y53" s="452"/>
      <c r="Z53" s="452"/>
      <c r="AA53" s="452"/>
      <c r="AB53" s="452"/>
      <c r="AC53" s="452"/>
      <c r="AD53" s="608"/>
      <c r="AE53" s="608"/>
      <c r="AF53" s="608"/>
      <c r="AG53" s="608"/>
      <c r="AH53" s="608"/>
      <c r="AI53" s="608"/>
      <c r="AJ53" s="608"/>
      <c r="AK53" s="608"/>
      <c r="AL53"/>
      <c r="AM53"/>
      <c r="AN53"/>
      <c r="AO53"/>
      <c r="AP53"/>
      <c r="AQ53"/>
      <c r="AR53"/>
      <c r="AS53"/>
      <c r="AT53"/>
      <c r="AU53"/>
      <c r="AV53"/>
      <c r="AW53" s="621"/>
      <c r="AX53" s="603"/>
      <c r="AY53" s="452"/>
      <c r="AZ53" s="452"/>
      <c r="BA53" s="452"/>
      <c r="BB53" s="452"/>
      <c r="BC53" s="605"/>
      <c r="BD53" s="310"/>
      <c r="BH53" s="396" t="s">
        <v>43</v>
      </c>
      <c r="BI53" s="397">
        <v>1.1599999999999999</v>
      </c>
      <c r="BJ53" s="399"/>
      <c r="BK53" s="399"/>
      <c r="BL53" s="349"/>
      <c r="BM53" s="349"/>
      <c r="BN53" s="350"/>
      <c r="BO53" s="350"/>
      <c r="BP53" s="347"/>
      <c r="BQ53" s="348"/>
      <c r="BR53" s="350"/>
      <c r="BS53" s="350"/>
      <c r="BT53" s="350"/>
      <c r="BU53" s="350"/>
      <c r="BV53" s="350"/>
      <c r="BW53" s="350"/>
      <c r="BX53" s="452"/>
      <c r="BY53" s="452"/>
      <c r="BZ53" s="452"/>
      <c r="CA53" s="452"/>
      <c r="CB53" s="452"/>
      <c r="CC53" s="452"/>
      <c r="CD53" s="452"/>
      <c r="CE53" s="452"/>
      <c r="CF53" s="452"/>
      <c r="CG53" s="452"/>
      <c r="CH53" s="495"/>
      <c r="CI53" s="399"/>
      <c r="CK53" s="399"/>
      <c r="CM53" s="399"/>
      <c r="CO53" s="399"/>
      <c r="CQ53" s="399"/>
      <c r="CR53" s="684"/>
      <c r="CS53" s="399"/>
      <c r="CT53" s="399"/>
    </row>
    <row r="54" spans="2:98" s="2" customFormat="1" ht="15" hidden="1" customHeight="1" x14ac:dyDescent="0.25">
      <c r="H54" s="7"/>
      <c r="I54" s="7"/>
      <c r="K54" s="320"/>
      <c r="L54" s="399"/>
      <c r="M54" s="399"/>
      <c r="N54" s="117"/>
      <c r="O54" s="117"/>
      <c r="P54" s="320"/>
      <c r="Q54" s="320"/>
      <c r="R54" s="117"/>
      <c r="S54" s="117"/>
      <c r="T54" s="117"/>
      <c r="U54" s="457"/>
      <c r="V54" s="627"/>
      <c r="W54" s="452"/>
      <c r="X54" s="608"/>
      <c r="Y54" s="452"/>
      <c r="Z54" s="452"/>
      <c r="AA54" s="452"/>
      <c r="AB54" s="452"/>
      <c r="AC54" s="452"/>
      <c r="AD54" s="452"/>
      <c r="AE54" s="452"/>
      <c r="AF54" s="452"/>
      <c r="AG54" s="452"/>
      <c r="AH54" s="452"/>
      <c r="AI54" s="452"/>
      <c r="AJ54" s="452"/>
      <c r="AK54" s="452"/>
      <c r="AL54"/>
      <c r="AM54"/>
      <c r="AN54"/>
      <c r="AO54"/>
      <c r="AP54"/>
      <c r="AQ54"/>
      <c r="AR54"/>
      <c r="AS54"/>
      <c r="AT54"/>
      <c r="AU54"/>
      <c r="AV54"/>
      <c r="AW54" s="621"/>
      <c r="AX54" s="603"/>
      <c r="AY54" s="452"/>
      <c r="AZ54" s="452"/>
      <c r="BA54" s="452"/>
      <c r="BB54" s="452"/>
      <c r="BC54" s="605"/>
      <c r="BD54" s="310"/>
      <c r="BH54" s="396" t="s">
        <v>44</v>
      </c>
      <c r="BI54" s="397">
        <v>1.2</v>
      </c>
      <c r="BJ54" s="399"/>
      <c r="BK54" s="399"/>
      <c r="BL54" s="349"/>
      <c r="BM54" s="349"/>
      <c r="BN54" s="350"/>
      <c r="BO54" s="350"/>
      <c r="BP54" s="347"/>
      <c r="BQ54" s="348"/>
      <c r="BR54" s="350"/>
      <c r="BS54" s="350"/>
      <c r="BT54" s="350"/>
      <c r="BU54" s="350"/>
      <c r="BV54" s="350"/>
      <c r="BW54" s="350"/>
      <c r="BX54" s="452"/>
      <c r="BY54" s="452"/>
      <c r="BZ54" s="452"/>
      <c r="CA54" s="452"/>
      <c r="CB54" s="452"/>
      <c r="CC54" s="452"/>
      <c r="CD54" s="452"/>
      <c r="CE54" s="452"/>
      <c r="CF54" s="452"/>
      <c r="CG54" s="452"/>
      <c r="CH54" s="495"/>
      <c r="CI54" s="399"/>
      <c r="CK54" s="399"/>
      <c r="CM54" s="399"/>
      <c r="CO54" s="399"/>
      <c r="CQ54" s="399"/>
      <c r="CR54" s="684"/>
      <c r="CS54" s="399"/>
      <c r="CT54" s="399"/>
    </row>
    <row r="55" spans="2:98" s="2" customFormat="1" hidden="1" x14ac:dyDescent="0.25">
      <c r="B55" s="120"/>
      <c r="C55" s="120"/>
      <c r="D55" s="120"/>
      <c r="E55" s="120"/>
      <c r="F55" s="120"/>
      <c r="G55" s="120"/>
      <c r="H55" s="7"/>
      <c r="I55" s="7"/>
      <c r="J55" s="109"/>
      <c r="K55" s="320"/>
      <c r="L55" s="399"/>
      <c r="M55" s="466"/>
      <c r="N55" s="117"/>
      <c r="O55" s="117"/>
      <c r="P55" s="320"/>
      <c r="Q55" s="320"/>
      <c r="R55" s="117"/>
      <c r="S55" s="117"/>
      <c r="T55" s="117"/>
      <c r="U55" s="457"/>
      <c r="V55" s="627"/>
      <c r="W55" s="452"/>
      <c r="X55" s="628"/>
      <c r="Y55" s="452"/>
      <c r="Z55" s="452"/>
      <c r="AA55" s="452"/>
      <c r="AB55" s="452"/>
      <c r="AC55" s="452"/>
      <c r="AD55" s="452"/>
      <c r="AE55" s="452"/>
      <c r="AF55" s="452"/>
      <c r="AG55" s="452"/>
      <c r="AH55" s="452"/>
      <c r="AI55" s="452"/>
      <c r="AJ55" s="452"/>
      <c r="AK55" s="452"/>
      <c r="AL55"/>
      <c r="AM55"/>
      <c r="AN55"/>
      <c r="AO55"/>
      <c r="AP55"/>
      <c r="AQ55"/>
      <c r="AR55"/>
      <c r="AS55"/>
      <c r="AT55"/>
      <c r="AU55"/>
      <c r="AV55"/>
      <c r="AW55" s="621"/>
      <c r="AX55" s="603"/>
      <c r="AY55" s="452"/>
      <c r="AZ55" s="452"/>
      <c r="BA55" s="452"/>
      <c r="BB55" s="452"/>
      <c r="BC55" s="605"/>
      <c r="BD55" s="310"/>
      <c r="BH55" s="396" t="s">
        <v>45</v>
      </c>
      <c r="BI55" s="397">
        <v>1.2</v>
      </c>
      <c r="BJ55" s="399"/>
      <c r="BK55" s="399"/>
      <c r="BL55" s="349"/>
      <c r="BM55" s="349"/>
      <c r="BN55" s="350"/>
      <c r="BO55" s="350"/>
      <c r="BP55" s="347"/>
      <c r="BQ55" s="348"/>
      <c r="BR55" s="350"/>
      <c r="BS55" s="350"/>
      <c r="BT55" s="350"/>
      <c r="BU55" s="350"/>
      <c r="BV55" s="350"/>
      <c r="BW55" s="350"/>
      <c r="BX55" s="452"/>
      <c r="BY55" s="452"/>
      <c r="BZ55" s="452"/>
      <c r="CA55" s="452"/>
      <c r="CB55" s="452"/>
      <c r="CC55" s="452"/>
      <c r="CD55" s="452"/>
      <c r="CE55" s="452"/>
      <c r="CF55" s="452"/>
      <c r="CG55" s="452"/>
      <c r="CH55" s="495"/>
      <c r="CI55" s="399"/>
      <c r="CK55" s="399"/>
      <c r="CM55" s="399"/>
      <c r="CO55" s="399"/>
      <c r="CQ55" s="399"/>
      <c r="CR55" s="684"/>
      <c r="CS55" s="399"/>
      <c r="CT55" s="399"/>
    </row>
    <row r="56" spans="2:98" s="2" customFormat="1" x14ac:dyDescent="0.25">
      <c r="B56" s="120"/>
      <c r="C56" s="120"/>
      <c r="D56" s="120"/>
      <c r="E56" s="120"/>
      <c r="F56" s="120"/>
      <c r="G56" s="120"/>
      <c r="H56" s="7"/>
      <c r="I56" s="7"/>
      <c r="J56" s="12"/>
      <c r="K56" s="320"/>
      <c r="L56" s="399"/>
      <c r="M56" s="466"/>
      <c r="N56" s="117"/>
      <c r="O56" s="117"/>
      <c r="P56" s="320"/>
      <c r="Q56" s="320"/>
      <c r="R56" s="117"/>
      <c r="S56" s="117"/>
      <c r="T56" s="117"/>
      <c r="U56" s="457"/>
      <c r="V56" s="627"/>
      <c r="W56" s="452"/>
      <c r="X56" s="452"/>
      <c r="Y56" s="452"/>
      <c r="Z56" s="452"/>
      <c r="AA56" s="452"/>
      <c r="AB56" s="452"/>
      <c r="AC56" s="452"/>
      <c r="AD56" s="452"/>
      <c r="AE56" s="452"/>
      <c r="AF56" s="452"/>
      <c r="AG56" s="452"/>
      <c r="AH56" s="452"/>
      <c r="AI56" s="452"/>
      <c r="AJ56" s="452"/>
      <c r="AK56" s="452"/>
      <c r="AL56"/>
      <c r="AM56"/>
      <c r="AN56"/>
      <c r="AO56"/>
      <c r="AP56"/>
      <c r="AQ56"/>
      <c r="AR56"/>
      <c r="AS56"/>
      <c r="AT56"/>
      <c r="AU56"/>
      <c r="AV56"/>
      <c r="AW56" s="621"/>
      <c r="AX56" s="603"/>
      <c r="AY56" s="452"/>
      <c r="AZ56" s="452"/>
      <c r="BA56" s="452"/>
      <c r="BB56" s="452"/>
      <c r="BC56" s="605"/>
      <c r="BD56" s="310"/>
      <c r="BL56" s="26"/>
      <c r="BM56" s="26"/>
      <c r="BP56" s="37"/>
      <c r="BQ56" s="329"/>
      <c r="BX56" s="452"/>
      <c r="BY56" s="452"/>
      <c r="BZ56" s="452"/>
      <c r="CA56" s="452"/>
      <c r="CB56" s="452"/>
      <c r="CC56" s="452"/>
      <c r="CD56" s="452"/>
      <c r="CE56" s="452"/>
      <c r="CF56" s="452"/>
      <c r="CG56" s="452"/>
      <c r="CH56" s="495"/>
      <c r="CI56" s="399"/>
      <c r="CK56" s="399"/>
      <c r="CM56" s="399"/>
      <c r="CO56" s="399"/>
      <c r="CQ56" s="399"/>
      <c r="CR56" s="684"/>
      <c r="CS56" s="399"/>
      <c r="CT56" s="399"/>
    </row>
    <row r="57" spans="2:98" s="2" customFormat="1" x14ac:dyDescent="0.25">
      <c r="B57" s="120"/>
      <c r="C57" s="120"/>
      <c r="D57" s="120"/>
      <c r="E57" s="120"/>
      <c r="F57" s="120"/>
      <c r="G57" s="120"/>
      <c r="H57" s="7"/>
      <c r="I57" s="7"/>
      <c r="J57" s="12"/>
      <c r="K57" s="320"/>
      <c r="L57" s="399"/>
      <c r="M57" s="466"/>
      <c r="N57" s="117"/>
      <c r="O57" s="117"/>
      <c r="P57" s="320"/>
      <c r="Q57" s="320"/>
      <c r="R57" s="117"/>
      <c r="S57" s="117"/>
      <c r="T57" s="117"/>
      <c r="U57" s="457"/>
      <c r="V57" s="627"/>
      <c r="W57" s="452"/>
      <c r="X57" s="452"/>
      <c r="Y57" s="452"/>
      <c r="Z57" s="452"/>
      <c r="AA57" s="452"/>
      <c r="AB57" s="452"/>
      <c r="AC57" s="452"/>
      <c r="AD57" s="452"/>
      <c r="AE57" s="452"/>
      <c r="AF57" s="452"/>
      <c r="AG57" s="452"/>
      <c r="AH57" s="452"/>
      <c r="AI57" s="452"/>
      <c r="AJ57" s="452"/>
      <c r="AK57" s="452"/>
      <c r="AL57"/>
      <c r="AM57"/>
      <c r="AN57"/>
      <c r="AO57"/>
      <c r="AP57"/>
      <c r="AQ57"/>
      <c r="AR57"/>
      <c r="AS57"/>
      <c r="AT57"/>
      <c r="AU57"/>
      <c r="AV57"/>
      <c r="AW57" s="621"/>
      <c r="AX57" s="603"/>
      <c r="AY57" s="452"/>
      <c r="AZ57" s="452"/>
      <c r="BA57" s="452"/>
      <c r="BB57" s="452"/>
      <c r="BC57" s="605"/>
      <c r="BD57" s="310"/>
      <c r="BL57" s="26"/>
      <c r="BM57" s="26"/>
      <c r="BP57" s="37"/>
      <c r="BQ57" s="329"/>
      <c r="BX57" s="452"/>
      <c r="BY57" s="452"/>
      <c r="BZ57" s="452"/>
      <c r="CA57" s="452"/>
      <c r="CB57" s="452"/>
      <c r="CC57" s="452"/>
      <c r="CD57" s="452"/>
      <c r="CE57" s="452"/>
      <c r="CF57" s="452"/>
      <c r="CG57" s="452"/>
      <c r="CH57" s="495"/>
      <c r="CI57" s="399"/>
      <c r="CK57" s="399"/>
      <c r="CM57" s="399"/>
      <c r="CO57" s="399"/>
      <c r="CQ57" s="399"/>
      <c r="CR57" s="684"/>
      <c r="CS57" s="399"/>
      <c r="CT57" s="399"/>
    </row>
    <row r="58" spans="2:98" s="2" customFormat="1" x14ac:dyDescent="0.25">
      <c r="B58" s="120"/>
      <c r="C58" s="120"/>
      <c r="D58" s="120"/>
      <c r="E58" s="120"/>
      <c r="F58" s="120"/>
      <c r="G58" s="120"/>
      <c r="H58" s="7"/>
      <c r="I58" s="7"/>
      <c r="J58" s="12"/>
      <c r="K58" s="320"/>
      <c r="L58" s="399"/>
      <c r="M58" s="466"/>
      <c r="N58" s="117"/>
      <c r="O58" s="117"/>
      <c r="P58" s="320"/>
      <c r="Q58" s="320"/>
      <c r="R58" s="117"/>
      <c r="S58" s="117"/>
      <c r="T58" s="117"/>
      <c r="U58" s="457"/>
      <c r="V58" s="627"/>
      <c r="W58" s="452"/>
      <c r="X58" s="452"/>
      <c r="Y58" s="452"/>
      <c r="Z58" s="452"/>
      <c r="AA58" s="452"/>
      <c r="AB58" s="452"/>
      <c r="AC58" s="452"/>
      <c r="AD58" s="452"/>
      <c r="AE58" s="452"/>
      <c r="AF58" s="452"/>
      <c r="AG58" s="452"/>
      <c r="AH58" s="452"/>
      <c r="AI58" s="452"/>
      <c r="AJ58" s="452"/>
      <c r="AK58" s="452"/>
      <c r="AL58"/>
      <c r="AM58"/>
      <c r="AN58"/>
      <c r="AO58"/>
      <c r="AP58"/>
      <c r="AQ58"/>
      <c r="AR58"/>
      <c r="AS58"/>
      <c r="AT58"/>
      <c r="AU58"/>
      <c r="AV58"/>
      <c r="AW58" s="621"/>
      <c r="AX58" s="603"/>
      <c r="AY58" s="452"/>
      <c r="AZ58" s="452"/>
      <c r="BA58" s="452"/>
      <c r="BB58" s="452"/>
      <c r="BC58" s="605"/>
      <c r="BD58" s="310"/>
      <c r="BL58" s="26"/>
      <c r="BM58" s="26"/>
      <c r="BP58" s="37"/>
      <c r="BQ58" s="329"/>
      <c r="BX58" s="452"/>
      <c r="BY58" s="452"/>
      <c r="BZ58" s="452"/>
      <c r="CA58" s="452"/>
      <c r="CB58" s="452"/>
      <c r="CC58" s="452"/>
      <c r="CD58" s="452"/>
      <c r="CE58" s="452"/>
      <c r="CF58" s="452"/>
      <c r="CG58" s="452"/>
      <c r="CH58" s="495"/>
      <c r="CI58" s="399"/>
      <c r="CK58" s="399"/>
      <c r="CM58" s="399"/>
      <c r="CO58" s="399"/>
      <c r="CQ58" s="399"/>
      <c r="CR58" s="684"/>
      <c r="CS58" s="399"/>
      <c r="CT58" s="399"/>
    </row>
    <row r="59" spans="2:98" s="2" customFormat="1" x14ac:dyDescent="0.25">
      <c r="B59" s="120"/>
      <c r="C59" s="120"/>
      <c r="D59" s="120"/>
      <c r="E59" s="120"/>
      <c r="F59" s="120"/>
      <c r="G59" s="120"/>
      <c r="H59" s="7"/>
      <c r="I59" s="7"/>
      <c r="J59" s="12"/>
      <c r="K59" s="320"/>
      <c r="L59" s="399"/>
      <c r="M59" s="466"/>
      <c r="N59" s="117"/>
      <c r="O59" s="117"/>
      <c r="P59" s="320"/>
      <c r="Q59" s="320"/>
      <c r="R59" s="117"/>
      <c r="S59" s="117"/>
      <c r="T59" s="117"/>
      <c r="U59" s="457"/>
      <c r="V59" s="627"/>
      <c r="W59" s="452"/>
      <c r="X59" s="452"/>
      <c r="Y59" s="452"/>
      <c r="Z59" s="452"/>
      <c r="AA59" s="452"/>
      <c r="AB59" s="452"/>
      <c r="AC59" s="452"/>
      <c r="AD59" s="452"/>
      <c r="AE59" s="452"/>
      <c r="AF59" s="452"/>
      <c r="AG59" s="452"/>
      <c r="AH59" s="452"/>
      <c r="AI59" s="452"/>
      <c r="AJ59" s="452"/>
      <c r="AK59" s="452"/>
      <c r="AL59"/>
      <c r="AM59"/>
      <c r="AN59"/>
      <c r="AO59"/>
      <c r="AP59"/>
      <c r="AQ59"/>
      <c r="AR59"/>
      <c r="AS59"/>
      <c r="AT59"/>
      <c r="AU59"/>
      <c r="AV59"/>
      <c r="AW59" s="621"/>
      <c r="AX59" s="603"/>
      <c r="AY59" s="452"/>
      <c r="AZ59" s="452"/>
      <c r="BA59" s="452"/>
      <c r="BB59" s="452"/>
      <c r="BC59" s="605"/>
      <c r="BD59" s="310"/>
      <c r="BL59" s="26"/>
      <c r="BM59" s="26"/>
      <c r="BP59" s="37"/>
      <c r="BQ59" s="329"/>
      <c r="BX59" s="452"/>
      <c r="BY59" s="452"/>
      <c r="BZ59" s="452"/>
      <c r="CA59" s="452"/>
      <c r="CB59" s="452"/>
      <c r="CC59" s="452"/>
      <c r="CD59" s="452"/>
      <c r="CE59" s="452"/>
      <c r="CF59" s="452"/>
      <c r="CG59" s="452"/>
      <c r="CH59" s="495"/>
      <c r="CI59" s="399"/>
      <c r="CK59" s="399"/>
      <c r="CM59" s="399"/>
      <c r="CO59" s="399"/>
      <c r="CQ59" s="399"/>
      <c r="CR59" s="684"/>
      <c r="CS59" s="399"/>
      <c r="CT59" s="399"/>
    </row>
    <row r="60" spans="2:98" s="2" customFormat="1" x14ac:dyDescent="0.25">
      <c r="B60" s="120"/>
      <c r="C60" s="120"/>
      <c r="D60" s="120"/>
      <c r="E60" s="120"/>
      <c r="F60" s="120"/>
      <c r="G60" s="120"/>
      <c r="H60" s="7"/>
      <c r="I60" s="7"/>
      <c r="J60" s="12"/>
      <c r="K60" s="320"/>
      <c r="L60" s="433"/>
      <c r="M60" s="466"/>
      <c r="N60" s="117"/>
      <c r="O60" s="117"/>
      <c r="P60" s="320"/>
      <c r="Q60" s="320"/>
      <c r="R60" s="117"/>
      <c r="S60" s="117"/>
      <c r="T60" s="117"/>
      <c r="U60" s="457"/>
      <c r="V60" s="627"/>
      <c r="W60" s="452"/>
      <c r="X60" s="452"/>
      <c r="Y60" s="452"/>
      <c r="Z60" s="452"/>
      <c r="AA60" s="452"/>
      <c r="AB60" s="452"/>
      <c r="AC60" s="452"/>
      <c r="AD60" s="452"/>
      <c r="AE60" s="452"/>
      <c r="AF60" s="452"/>
      <c r="AG60" s="452"/>
      <c r="AH60" s="452"/>
      <c r="AI60" s="452"/>
      <c r="AJ60" s="452"/>
      <c r="AK60" s="452"/>
      <c r="AL60"/>
      <c r="AM60"/>
      <c r="AN60"/>
      <c r="AO60"/>
      <c r="AP60"/>
      <c r="AQ60"/>
      <c r="AR60"/>
      <c r="AS60"/>
      <c r="AT60"/>
      <c r="AU60"/>
      <c r="AV60"/>
      <c r="AW60" s="621"/>
      <c r="AX60" s="603"/>
      <c r="AY60" s="452"/>
      <c r="AZ60" s="452"/>
      <c r="BA60" s="452"/>
      <c r="BB60" s="452"/>
      <c r="BC60" s="605"/>
      <c r="BD60" s="310"/>
      <c r="BL60" s="26"/>
      <c r="BM60" s="26"/>
      <c r="BP60" s="37"/>
      <c r="BQ60" s="329"/>
      <c r="BX60" s="452"/>
      <c r="BY60" s="452"/>
      <c r="BZ60" s="452"/>
      <c r="CA60" s="452"/>
      <c r="CB60" s="452"/>
      <c r="CC60" s="452"/>
      <c r="CD60" s="452"/>
      <c r="CE60" s="452"/>
      <c r="CF60" s="452"/>
      <c r="CG60" s="452"/>
      <c r="CH60" s="495"/>
      <c r="CI60" s="399"/>
      <c r="CK60" s="399"/>
      <c r="CM60" s="399"/>
      <c r="CO60" s="399"/>
      <c r="CQ60" s="399"/>
      <c r="CR60" s="684"/>
      <c r="CS60" s="399"/>
      <c r="CT60" s="399"/>
    </row>
  </sheetData>
  <sheetProtection algorithmName="SHA-512" hashValue="k7gofmOumbpPKftXCnmRYK6Nwmns6TmgUwT0X6TumFmQlskO0VEZggsktGz9D2b0Hxj9aiGX59mbzbM9dFK8Mw==" saltValue="KUxxNgZq4buC2jJ5wYNJng==" spinCount="100000" sheet="1" objects="1" scenarios="1"/>
  <mergeCells count="81">
    <mergeCell ref="J5:K5"/>
    <mergeCell ref="D5:G5"/>
    <mergeCell ref="P7:P9"/>
    <mergeCell ref="G7:G9"/>
    <mergeCell ref="S7:T8"/>
    <mergeCell ref="H7:H9"/>
    <mergeCell ref="J7:J9"/>
    <mergeCell ref="N7:N9"/>
    <mergeCell ref="O7:O9"/>
    <mergeCell ref="R7:R9"/>
    <mergeCell ref="K7:K9"/>
    <mergeCell ref="I7:I9"/>
    <mergeCell ref="Q7:Q9"/>
    <mergeCell ref="L7:L9"/>
    <mergeCell ref="M7:M9"/>
    <mergeCell ref="B7:B9"/>
    <mergeCell ref="C7:C9"/>
    <mergeCell ref="D7:D9"/>
    <mergeCell ref="E7:E9"/>
    <mergeCell ref="F7:F9"/>
    <mergeCell ref="U7:U9"/>
    <mergeCell ref="V7:AC7"/>
    <mergeCell ref="AD7:AJ7"/>
    <mergeCell ref="AL7:AS7"/>
    <mergeCell ref="AT7:BA7"/>
    <mergeCell ref="AM8:AN8"/>
    <mergeCell ref="AO8:AR8"/>
    <mergeCell ref="AT8:AT9"/>
    <mergeCell ref="AU8:AV8"/>
    <mergeCell ref="AG8:AJ8"/>
    <mergeCell ref="AL8:AL9"/>
    <mergeCell ref="V8:V9"/>
    <mergeCell ref="W8:X8"/>
    <mergeCell ref="Y8:AB8"/>
    <mergeCell ref="AD8:AD9"/>
    <mergeCell ref="AE8:AF8"/>
    <mergeCell ref="BE8:BE9"/>
    <mergeCell ref="BF8:BF9"/>
    <mergeCell ref="BJ8:BK8"/>
    <mergeCell ref="BB7:BB9"/>
    <mergeCell ref="AW8:AZ8"/>
    <mergeCell ref="BC8:BC9"/>
    <mergeCell ref="BH8:BI8"/>
    <mergeCell ref="BG8:BG9"/>
    <mergeCell ref="BC7:BG7"/>
    <mergeCell ref="BH7:CJ7"/>
    <mergeCell ref="BD8:BD9"/>
    <mergeCell ref="BR35:BS35"/>
    <mergeCell ref="BT35:BU35"/>
    <mergeCell ref="BT8:BU8"/>
    <mergeCell ref="BV8:BW8"/>
    <mergeCell ref="BY8:CD8"/>
    <mergeCell ref="BV35:BW35"/>
    <mergeCell ref="AF35:AH35"/>
    <mergeCell ref="BH35:BI35"/>
    <mergeCell ref="BJ35:BK35"/>
    <mergeCell ref="BN35:BO35"/>
    <mergeCell ref="BP35:BQ35"/>
    <mergeCell ref="CF35:CG35"/>
    <mergeCell ref="BT36:BU36"/>
    <mergeCell ref="CF36:CG36"/>
    <mergeCell ref="CH8:CH9"/>
    <mergeCell ref="CT10:CT29"/>
    <mergeCell ref="CP8:CP9"/>
    <mergeCell ref="CR8:CR9"/>
    <mergeCell ref="CF8:CG8"/>
    <mergeCell ref="CJ8:CJ9"/>
    <mergeCell ref="CS10:CS29"/>
    <mergeCell ref="CO8:CO9"/>
    <mergeCell ref="CQ8:CQ9"/>
    <mergeCell ref="CS8:CS9"/>
    <mergeCell ref="CT8:CT9"/>
    <mergeCell ref="CN8:CN9"/>
    <mergeCell ref="CK8:CK9"/>
    <mergeCell ref="CM8:CM9"/>
    <mergeCell ref="CL8:CL9"/>
    <mergeCell ref="CI8:CI9"/>
    <mergeCell ref="BR8:BS8"/>
    <mergeCell ref="BL8:BM8"/>
    <mergeCell ref="BN8:BO8"/>
    <mergeCell ref="BP8:BQ8"/>
  </mergeCells>
  <conditionalFormatting sqref="BF10:BF29">
    <cfRule type="cellIs" dxfId="16" priority="26" operator="equal">
      <formula>1</formula>
    </cfRule>
    <cfRule type="cellIs" dxfId="15" priority="27" operator="greaterThan">
      <formula>1</formula>
    </cfRule>
    <cfRule type="cellIs" dxfId="14" priority="28" operator="lessThan">
      <formula>1</formula>
    </cfRule>
  </conditionalFormatting>
  <conditionalFormatting sqref="J5">
    <cfRule type="cellIs" dxfId="13" priority="1" operator="equal">
      <formula>"Postulación válida"</formula>
    </cfRule>
    <cfRule type="cellIs" dxfId="12" priority="2" operator="equal">
      <formula>"No califica. Proyecto mayor a 100 tep. Puede postularse por medidas no estandarizadas."</formula>
    </cfRule>
    <cfRule type="cellIs" dxfId="11" priority="8" operator="equal">
      <formula>"Postulación como MMEE estandarizada válida porque ahorros totales entre 1 y 10 tep"</formula>
    </cfRule>
    <cfRule type="cellIs" dxfId="10" priority="14" operator="equal">
      <formula>"No califica para pre-postularse porque su proyecto es menor a 1 tep"</formula>
    </cfRule>
    <cfRule type="cellIs" dxfId="9" priority="15" operator="equal">
      <formula>"NO CALIFICA PARA PRE-POSTULARSE"</formula>
    </cfRule>
    <cfRule type="cellIs" dxfId="8" priority="16" operator="equal">
      <formula>"NO CUMPLE LOS REQUISITOS PARA PRE-POSTULARSE"</formula>
    </cfRule>
    <cfRule type="cellIs" dxfId="7" priority="17" operator="equal">
      <formula>"NO CUMPLE LOS REQUISITOS PARA PRE-POSTULARSE"</formula>
    </cfRule>
    <cfRule type="cellIs" dxfId="6" priority="18" operator="equal">
      <formula>"NO CUMPLE REQUISITOS PARA PRE-POSTULARSE"</formula>
    </cfRule>
    <cfRule type="cellIs" dxfId="5" priority="19" operator="equal">
      <formula>"PRE-POSTULACIÓN VÁLIDA"</formula>
    </cfRule>
    <cfRule type="cellIs" dxfId="4" priority="20" operator="equal">
      <formula>"CALIFICA A LOS CEE2019"</formula>
    </cfRule>
    <cfRule type="cellIs" dxfId="3" priority="23" operator="equal">
      <formula>"CALIFICA"</formula>
    </cfRule>
  </conditionalFormatting>
  <conditionalFormatting sqref="I5">
    <cfRule type="cellIs" dxfId="2" priority="3" operator="greaterThan">
      <formula>100</formula>
    </cfRule>
    <cfRule type="cellIs" dxfId="1" priority="4" operator="equal">
      <formula>100</formula>
    </cfRule>
    <cfRule type="cellIs" dxfId="0" priority="5" operator="lessThan">
      <formula>100</formula>
    </cfRule>
  </conditionalFormatting>
  <dataValidations count="13">
    <dataValidation type="list" allowBlank="1" showInputMessage="1" showErrorMessage="1" sqref="BV10:BV29" xr:uid="{00000000-0002-0000-0300-000000000000}">
      <formula1>$BV$36:$BV$39</formula1>
    </dataValidation>
    <dataValidation type="list" allowBlank="1" showInputMessage="1" showErrorMessage="1" sqref="CF10:CF29" xr:uid="{00000000-0002-0000-0300-000001000000}">
      <formula1>$CF$36:$CF$43</formula1>
    </dataValidation>
    <dataValidation type="list" allowBlank="1" showInputMessage="1" showErrorMessage="1" sqref="BB10:BB29" xr:uid="{00000000-0002-0000-0300-000005000000}">
      <formula1>$BB$36:$BB$38</formula1>
    </dataValidation>
    <dataValidation type="list" allowBlank="1" showInputMessage="1" showErrorMessage="1" sqref="U10:U29" xr:uid="{00000000-0002-0000-0300-000006000000}">
      <formula1>$U$36:$U$40</formula1>
    </dataValidation>
    <dataValidation type="list" allowBlank="1" showErrorMessage="1" sqref="P10:Q29" xr:uid="{DA456D9F-74AC-4735-BBF0-F11B03C2A016}">
      <formula1>$P$36:$P$38</formula1>
    </dataValidation>
    <dataValidation type="list" allowBlank="1" showErrorMessage="1" sqref="R10:R29" xr:uid="{6F2D6CF9-5E88-4524-B6FE-5DA11AEC13E2}">
      <formula1>$R$36:$R$39</formula1>
    </dataValidation>
    <dataValidation type="list" allowBlank="1" showInputMessage="1" showErrorMessage="1" sqref="H10:H29" xr:uid="{3C919B43-6E27-47CA-95CB-D4D25297E1B3}">
      <formula1>$H$36:$H$47</formula1>
    </dataValidation>
    <dataValidation allowBlank="1" showErrorMessage="1" sqref="L10:M29" xr:uid="{B8747F47-6571-4FEB-8C9D-2E94D71F1000}"/>
    <dataValidation type="list" allowBlank="1" showInputMessage="1" showErrorMessage="1" sqref="BJ10:BJ29" xr:uid="{52760A78-5A7D-4780-A6CD-A0D0521403C6}">
      <formula1>$BJ$36:$BJ$41</formula1>
    </dataValidation>
    <dataValidation type="list" allowBlank="1" showInputMessage="1" showErrorMessage="1" sqref="AT10:AT29 AD10:AD29" xr:uid="{00000000-0002-0000-0300-000004000000}">
      <formula1>$V$36:$V$44</formula1>
    </dataValidation>
    <dataValidation type="decimal" operator="lessThanOrEqual" allowBlank="1" showErrorMessage="1" errorTitle="Error" error="No pueden ingresarse valores mayores a 18.000 BTU/h." sqref="J10:J29" xr:uid="{3FCD3F82-4588-49C0-92C2-2244A64CC124}">
      <formula1>180000</formula1>
    </dataValidation>
    <dataValidation type="list" allowBlank="1" showInputMessage="1" showErrorMessage="1" sqref="BT10:BT29" xr:uid="{00000000-0002-0000-0300-000002000000}">
      <formula1>$BT$36:$BT$39</formula1>
    </dataValidation>
    <dataValidation type="list" allowBlank="1" showInputMessage="1" showErrorMessage="1" sqref="BR10:BR29" xr:uid="{00000000-0002-0000-0300-000003000000}">
      <formula1>$BR$36:$BR$39</formula1>
    </dataValidation>
  </dataValidations>
  <pageMargins left="0.70866141732283472" right="0.70866141732283472" top="0.74803149606299213" bottom="0.74803149606299213" header="0.31496062992125984" footer="0.31496062992125984"/>
  <pageSetup paperSize="9" scale="63" fitToHeight="0" orientation="portrait" r:id="rId1"/>
  <ignoredErrors>
    <ignoredError sqref="AB11:AB16 U11:U12 E29 E10:E27 BC10 V10 V11:V29 W37 W38:W43 W10:W29 X10:X29 AB10 Z10:Z29 AD10:AK10 AD11:AK16 AR10 AR11:AR16 AT10:BA10 AT11:BA16 AM37 AL10:AM10 AL11:AL29 AM11:AM29 AN10:AN29 AP10:AP29 AQ10:AQ29 AA10:AA29 AC10:AC29 AB17:AB29 AO10:AO11 AS10:AS29 AR17:AR29 AO13:AO29 AK37:AK47"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2C168D-35D2-43C0-9720-469F423C51A6}">
          <x14:formula1>
            <xm:f>'Datos Instalaciones'!$E$42:$E$62</xm:f>
          </x14:formula1>
          <xm:sqref>D10:D29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53"/>
  <sheetViews>
    <sheetView zoomScale="98" zoomScaleNormal="98" workbookViewId="0">
      <selection activeCell="D178" sqref="D178"/>
    </sheetView>
  </sheetViews>
  <sheetFormatPr baseColWidth="10" defaultColWidth="11.42578125" defaultRowHeight="15" x14ac:dyDescent="0.25"/>
  <cols>
    <col min="1" max="1" width="58.42578125" customWidth="1"/>
    <col min="2" max="2" width="14.140625" bestFit="1" customWidth="1"/>
    <col min="3" max="3" width="14.85546875" customWidth="1"/>
    <col min="4" max="4" width="95.28515625" customWidth="1"/>
    <col min="7" max="7" width="22.85546875" customWidth="1"/>
    <col min="8" max="8" width="22.42578125" customWidth="1"/>
    <col min="9" max="9" width="14.28515625" customWidth="1"/>
    <col min="10" max="10" width="22.42578125" customWidth="1"/>
    <col min="11" max="11" width="21.5703125" customWidth="1"/>
  </cols>
  <sheetData>
    <row r="1" spans="1:7" ht="18.75" x14ac:dyDescent="0.3">
      <c r="A1" s="39" t="s">
        <v>152</v>
      </c>
    </row>
    <row r="3" spans="1:7" x14ac:dyDescent="0.25">
      <c r="A3" t="s">
        <v>153</v>
      </c>
      <c r="B3" s="40"/>
    </row>
    <row r="5" spans="1:7" ht="15.75" x14ac:dyDescent="0.25">
      <c r="A5" s="236" t="s">
        <v>95</v>
      </c>
      <c r="B5" s="237"/>
      <c r="C5" s="237"/>
      <c r="D5" s="237"/>
    </row>
    <row r="6" spans="1:7" s="42" customFormat="1" x14ac:dyDescent="0.25">
      <c r="A6" s="41" t="s">
        <v>154</v>
      </c>
      <c r="B6" s="41" t="s">
        <v>10</v>
      </c>
      <c r="C6" s="41" t="s">
        <v>86</v>
      </c>
      <c r="D6" s="41" t="s">
        <v>155</v>
      </c>
    </row>
    <row r="7" spans="1:7" s="42" customFormat="1" x14ac:dyDescent="0.25">
      <c r="A7" s="43" t="s">
        <v>156</v>
      </c>
      <c r="B7" s="44">
        <v>1</v>
      </c>
      <c r="C7" s="43"/>
      <c r="D7" s="43" t="s">
        <v>250</v>
      </c>
    </row>
    <row r="8" spans="1:7" s="47" customFormat="1" x14ac:dyDescent="0.25">
      <c r="A8" s="45" t="s">
        <v>157</v>
      </c>
      <c r="B8" s="46">
        <f>1500*43.5</f>
        <v>65250</v>
      </c>
      <c r="C8" s="45"/>
      <c r="D8" s="45" t="s">
        <v>328</v>
      </c>
    </row>
    <row r="9" spans="1:7" s="55" customFormat="1" x14ac:dyDescent="0.25">
      <c r="A9" s="52" t="s">
        <v>220</v>
      </c>
      <c r="B9" s="89">
        <v>1380</v>
      </c>
      <c r="C9" s="52" t="s">
        <v>158</v>
      </c>
      <c r="D9" s="45" t="s">
        <v>416</v>
      </c>
      <c r="F9" s="87"/>
    </row>
    <row r="10" spans="1:7" s="55" customFormat="1" x14ac:dyDescent="0.25">
      <c r="A10" s="52" t="s">
        <v>221</v>
      </c>
      <c r="B10" s="89">
        <v>0</v>
      </c>
      <c r="C10" s="52" t="s">
        <v>158</v>
      </c>
      <c r="D10" s="61"/>
    </row>
    <row r="11" spans="1:7" s="42" customFormat="1" x14ac:dyDescent="0.25">
      <c r="A11" s="45" t="s">
        <v>159</v>
      </c>
      <c r="B11" s="49">
        <f>+B7*(B9-B10)*0.086/1000</f>
        <v>0.11867999999999999</v>
      </c>
      <c r="C11" s="45" t="s">
        <v>160</v>
      </c>
      <c r="D11" s="45"/>
      <c r="E11" s="50"/>
    </row>
    <row r="12" spans="1:7" s="42" customFormat="1" x14ac:dyDescent="0.25">
      <c r="A12" s="45" t="s">
        <v>161</v>
      </c>
      <c r="B12" s="48">
        <v>15</v>
      </c>
      <c r="C12" s="45" t="s">
        <v>162</v>
      </c>
      <c r="D12" s="45" t="s">
        <v>333</v>
      </c>
    </row>
    <row r="13" spans="1:7" s="42" customFormat="1" x14ac:dyDescent="0.25">
      <c r="A13" s="45" t="s">
        <v>163</v>
      </c>
      <c r="B13" s="51">
        <v>7.4999999999999997E-2</v>
      </c>
      <c r="C13" s="45"/>
      <c r="D13" s="45"/>
    </row>
    <row r="14" spans="1:7" s="55" customFormat="1" x14ac:dyDescent="0.25">
      <c r="A14" s="52" t="s">
        <v>164</v>
      </c>
      <c r="B14" s="98">
        <f>+PV(B13,B12,-B11,0,1)</f>
        <v>1.1261727641915258</v>
      </c>
      <c r="C14" s="52" t="s">
        <v>165</v>
      </c>
      <c r="D14" s="52"/>
      <c r="E14" s="53">
        <f>+B14/0.086*1000</f>
        <v>13095.032141761929</v>
      </c>
      <c r="F14" s="54" t="s">
        <v>166</v>
      </c>
      <c r="G14" s="55" t="s">
        <v>167</v>
      </c>
    </row>
    <row r="15" spans="1:7" s="42" customFormat="1" x14ac:dyDescent="0.25">
      <c r="A15" s="58" t="s">
        <v>325</v>
      </c>
      <c r="B15" s="46">
        <v>3</v>
      </c>
      <c r="C15" s="43"/>
      <c r="D15" s="43" t="s">
        <v>326</v>
      </c>
    </row>
    <row r="16" spans="1:7" s="42" customFormat="1" x14ac:dyDescent="0.25">
      <c r="A16" s="58" t="s">
        <v>169</v>
      </c>
      <c r="B16" s="286">
        <v>2</v>
      </c>
      <c r="C16" s="43"/>
      <c r="D16" s="43"/>
    </row>
    <row r="17" spans="1:6" s="42" customFormat="1" x14ac:dyDescent="0.25">
      <c r="A17" s="58" t="s">
        <v>170</v>
      </c>
      <c r="B17" s="286">
        <v>1</v>
      </c>
      <c r="C17" s="43"/>
      <c r="D17" s="43" t="s">
        <v>323</v>
      </c>
    </row>
    <row r="18" spans="1:6" s="42" customFormat="1" x14ac:dyDescent="0.25">
      <c r="A18" s="58" t="s">
        <v>420</v>
      </c>
      <c r="B18" s="251">
        <f>+B14*B15*B16*B17</f>
        <v>6.7570365851491552</v>
      </c>
      <c r="C18" s="43" t="s">
        <v>165</v>
      </c>
      <c r="D18" s="43"/>
    </row>
    <row r="19" spans="1:6" s="42" customFormat="1" x14ac:dyDescent="0.25">
      <c r="A19" s="43" t="s">
        <v>172</v>
      </c>
      <c r="B19" s="60">
        <v>1000</v>
      </c>
      <c r="C19" s="43" t="s">
        <v>173</v>
      </c>
      <c r="D19" s="43"/>
    </row>
    <row r="20" spans="1:6" s="42" customFormat="1" x14ac:dyDescent="0.25">
      <c r="A20" s="61" t="s">
        <v>322</v>
      </c>
      <c r="B20" s="62">
        <f>+B18*B19</f>
        <v>6757.0365851491551</v>
      </c>
      <c r="C20" s="43" t="s">
        <v>174</v>
      </c>
      <c r="D20" s="43" t="s">
        <v>175</v>
      </c>
    </row>
    <row r="21" spans="1:6" s="42" customFormat="1" x14ac:dyDescent="0.25">
      <c r="A21" s="144" t="s">
        <v>377</v>
      </c>
      <c r="B21" s="146">
        <f>0.1537*42.015</f>
        <v>6.4577055000000003</v>
      </c>
      <c r="C21" s="102" t="s">
        <v>330</v>
      </c>
      <c r="D21" s="231" t="s">
        <v>547</v>
      </c>
    </row>
    <row r="22" spans="1:6" s="42" customFormat="1" x14ac:dyDescent="0.25">
      <c r="A22" s="144" t="s">
        <v>329</v>
      </c>
      <c r="B22" s="230">
        <f>+B9*B21</f>
        <v>8911.6335900000013</v>
      </c>
      <c r="C22" s="144" t="s">
        <v>332</v>
      </c>
    </row>
    <row r="23" spans="1:6" s="47" customFormat="1" x14ac:dyDescent="0.25">
      <c r="A23" s="56" t="s">
        <v>168</v>
      </c>
      <c r="B23" s="49">
        <f>B8/(-PV(10%,B12,B22,0,0))</f>
        <v>0.96263651947353379</v>
      </c>
      <c r="C23" s="45"/>
      <c r="D23" s="45"/>
      <c r="E23" s="42"/>
      <c r="F23" s="57"/>
    </row>
    <row r="24" spans="1:6" s="42" customFormat="1" x14ac:dyDescent="0.25">
      <c r="A24" s="61" t="s">
        <v>176</v>
      </c>
      <c r="B24" s="232">
        <f>700*1.21*12*2</f>
        <v>20328</v>
      </c>
      <c r="C24" s="144" t="s">
        <v>130</v>
      </c>
      <c r="D24" s="63" t="s">
        <v>177</v>
      </c>
      <c r="E24"/>
      <c r="F24" s="55"/>
    </row>
    <row r="25" spans="1:6" s="42" customFormat="1" x14ac:dyDescent="0.25">
      <c r="A25" s="61" t="s">
        <v>324</v>
      </c>
      <c r="B25" s="229">
        <f>+B20/B8</f>
        <v>0.10355611624749662</v>
      </c>
      <c r="C25" s="43"/>
      <c r="D25" s="43"/>
      <c r="E25"/>
      <c r="F25" s="55"/>
    </row>
    <row r="26" spans="1:6" x14ac:dyDescent="0.25">
      <c r="B26" s="228"/>
    </row>
    <row r="27" spans="1:6" ht="15.75" x14ac:dyDescent="0.25">
      <c r="A27" s="236" t="s">
        <v>213</v>
      </c>
      <c r="B27" s="237"/>
      <c r="C27" s="237"/>
      <c r="D27" s="237"/>
    </row>
    <row r="28" spans="1:6" s="42" customFormat="1" x14ac:dyDescent="0.25">
      <c r="A28" s="41" t="s">
        <v>154</v>
      </c>
      <c r="B28" s="41" t="s">
        <v>10</v>
      </c>
      <c r="C28" s="41" t="s">
        <v>86</v>
      </c>
      <c r="D28" s="41" t="s">
        <v>72</v>
      </c>
    </row>
    <row r="29" spans="1:6" s="42" customFormat="1" x14ac:dyDescent="0.25">
      <c r="A29" s="64" t="s">
        <v>178</v>
      </c>
      <c r="B29" s="65">
        <v>1</v>
      </c>
      <c r="C29" s="66"/>
      <c r="D29" s="64"/>
    </row>
    <row r="30" spans="1:6" s="42" customFormat="1" x14ac:dyDescent="0.25">
      <c r="A30" s="43" t="s">
        <v>179</v>
      </c>
      <c r="B30" s="67">
        <v>1.5</v>
      </c>
      <c r="C30" s="68" t="s">
        <v>180</v>
      </c>
      <c r="D30" s="69" t="s">
        <v>181</v>
      </c>
    </row>
    <row r="31" spans="1:6" s="47" customFormat="1" x14ac:dyDescent="0.25">
      <c r="A31" s="45" t="s">
        <v>157</v>
      </c>
      <c r="B31" s="46">
        <f>1800*B29*B30*43.5</f>
        <v>117450</v>
      </c>
      <c r="C31" s="45"/>
      <c r="D31" s="45" t="s">
        <v>327</v>
      </c>
    </row>
    <row r="32" spans="1:6" s="42" customFormat="1" x14ac:dyDescent="0.25">
      <c r="A32" s="84" t="s">
        <v>182</v>
      </c>
      <c r="B32" s="351">
        <v>0.16</v>
      </c>
      <c r="C32" s="86" t="s">
        <v>183</v>
      </c>
      <c r="D32" s="84" t="s">
        <v>181</v>
      </c>
      <c r="E32" s="47"/>
    </row>
    <row r="33" spans="1:9" s="55" customFormat="1" x14ac:dyDescent="0.25">
      <c r="A33" s="84" t="s">
        <v>448</v>
      </c>
      <c r="B33" s="351" t="s">
        <v>449</v>
      </c>
      <c r="C33" s="86"/>
      <c r="D33" s="84" t="s">
        <v>450</v>
      </c>
      <c r="E33" s="87"/>
    </row>
    <row r="34" spans="1:9" s="55" customFormat="1" x14ac:dyDescent="0.25">
      <c r="A34" s="84" t="s">
        <v>219</v>
      </c>
      <c r="B34" s="85">
        <f>+B30*B32*365*24</f>
        <v>2102.3999999999996</v>
      </c>
      <c r="C34" s="86" t="s">
        <v>158</v>
      </c>
      <c r="D34" s="84" t="s">
        <v>175</v>
      </c>
      <c r="E34" s="276">
        <f>+B34/(230*12)</f>
        <v>0.76173913043478247</v>
      </c>
      <c r="F34" s="55" t="s">
        <v>415</v>
      </c>
    </row>
    <row r="35" spans="1:9" s="55" customFormat="1" x14ac:dyDescent="0.25">
      <c r="A35" s="84" t="s">
        <v>218</v>
      </c>
      <c r="B35" s="88">
        <v>0</v>
      </c>
      <c r="C35" s="86" t="s">
        <v>158</v>
      </c>
      <c r="D35" s="84"/>
      <c r="F35" s="87"/>
    </row>
    <row r="36" spans="1:9" s="42" customFormat="1" x14ac:dyDescent="0.25">
      <c r="A36" s="64" t="s">
        <v>184</v>
      </c>
      <c r="B36" s="71">
        <f>+B34*0.086/1000</f>
        <v>0.18080639999999998</v>
      </c>
      <c r="C36" s="66" t="s">
        <v>160</v>
      </c>
      <c r="D36" s="64" t="s">
        <v>175</v>
      </c>
    </row>
    <row r="37" spans="1:9" s="42" customFormat="1" x14ac:dyDescent="0.25">
      <c r="A37" s="43" t="s">
        <v>161</v>
      </c>
      <c r="B37" s="60">
        <v>20</v>
      </c>
      <c r="C37" s="43" t="s">
        <v>162</v>
      </c>
      <c r="D37" s="43" t="s">
        <v>540</v>
      </c>
    </row>
    <row r="38" spans="1:9" s="42" customFormat="1" x14ac:dyDescent="0.25">
      <c r="A38" s="43" t="s">
        <v>163</v>
      </c>
      <c r="B38" s="72">
        <v>7.4999999999999997E-2</v>
      </c>
      <c r="C38" s="43" t="s">
        <v>183</v>
      </c>
      <c r="D38" s="43"/>
    </row>
    <row r="39" spans="1:9" s="55" customFormat="1" x14ac:dyDescent="0.25">
      <c r="A39" s="61" t="s">
        <v>164</v>
      </c>
      <c r="B39" s="73">
        <f>+PV(B38,B37,-B36,0,1)</f>
        <v>1.9814714786730914</v>
      </c>
      <c r="C39" s="61" t="s">
        <v>165</v>
      </c>
      <c r="D39" s="61" t="s">
        <v>175</v>
      </c>
    </row>
    <row r="40" spans="1:9" s="42" customFormat="1" x14ac:dyDescent="0.25">
      <c r="A40" s="58" t="s">
        <v>325</v>
      </c>
      <c r="B40" s="46">
        <v>3</v>
      </c>
      <c r="C40" s="43"/>
      <c r="D40" s="43" t="s">
        <v>326</v>
      </c>
    </row>
    <row r="41" spans="1:9" s="42" customFormat="1" x14ac:dyDescent="0.25">
      <c r="A41" s="43" t="s">
        <v>185</v>
      </c>
      <c r="B41" s="287">
        <v>1.8</v>
      </c>
      <c r="C41" s="43"/>
      <c r="D41" s="43"/>
    </row>
    <row r="42" spans="1:9" s="42" customFormat="1" x14ac:dyDescent="0.25">
      <c r="A42" s="58" t="s">
        <v>170</v>
      </c>
      <c r="B42" s="286">
        <v>1</v>
      </c>
      <c r="C42" s="43"/>
      <c r="D42" s="43" t="s">
        <v>323</v>
      </c>
      <c r="I42" s="74"/>
    </row>
    <row r="43" spans="1:9" s="55" customFormat="1" x14ac:dyDescent="0.25">
      <c r="A43" s="284" t="s">
        <v>171</v>
      </c>
      <c r="B43" s="288">
        <f>+B39*B40*B41*B42</f>
        <v>10.699945984834693</v>
      </c>
      <c r="C43" s="61" t="s">
        <v>165</v>
      </c>
      <c r="D43" s="61"/>
    </row>
    <row r="44" spans="1:9" s="42" customFormat="1" x14ac:dyDescent="0.25">
      <c r="A44" s="43" t="s">
        <v>140</v>
      </c>
      <c r="B44" s="60">
        <v>1000</v>
      </c>
      <c r="C44" s="43" t="s">
        <v>186</v>
      </c>
      <c r="D44" s="43"/>
    </row>
    <row r="45" spans="1:9" s="42" customFormat="1" x14ac:dyDescent="0.25">
      <c r="A45" s="61" t="s">
        <v>322</v>
      </c>
      <c r="B45" s="62">
        <f>+B39*B40*B41*B44</f>
        <v>10699.945984834694</v>
      </c>
      <c r="C45" s="43" t="s">
        <v>130</v>
      </c>
      <c r="D45" s="43" t="s">
        <v>175</v>
      </c>
      <c r="E45" s="234"/>
    </row>
    <row r="46" spans="1:9" s="42" customFormat="1" x14ac:dyDescent="0.25">
      <c r="A46" s="144" t="s">
        <v>331</v>
      </c>
      <c r="B46" s="423">
        <v>6.4577055000000003</v>
      </c>
      <c r="C46" s="102" t="s">
        <v>330</v>
      </c>
      <c r="D46" s="231" t="s">
        <v>547</v>
      </c>
    </row>
    <row r="47" spans="1:9" s="42" customFormat="1" ht="14.25" customHeight="1" x14ac:dyDescent="0.25">
      <c r="A47" s="144" t="s">
        <v>329</v>
      </c>
      <c r="B47" s="230">
        <f>+B34*B46</f>
        <v>13576.680043199998</v>
      </c>
      <c r="C47" s="144" t="s">
        <v>332</v>
      </c>
    </row>
    <row r="48" spans="1:9" s="47" customFormat="1" ht="18" customHeight="1" x14ac:dyDescent="0.25">
      <c r="A48" s="56" t="s">
        <v>168</v>
      </c>
      <c r="B48" s="233">
        <f>B31/(-PV(10%,B37,B47,0,0))</f>
        <v>1.0161271301701751</v>
      </c>
      <c r="C48" s="45"/>
      <c r="D48" s="45"/>
      <c r="E48" s="42"/>
      <c r="F48" s="57"/>
    </row>
    <row r="49" spans="1:6" s="42" customFormat="1" x14ac:dyDescent="0.25">
      <c r="A49" s="61" t="s">
        <v>324</v>
      </c>
      <c r="B49" s="229">
        <f>+B45/B31</f>
        <v>9.1102136950486967E-2</v>
      </c>
      <c r="C49" s="43"/>
      <c r="D49" s="43"/>
      <c r="E49"/>
      <c r="F49" s="55"/>
    </row>
    <row r="51" spans="1:6" ht="15.75" x14ac:dyDescent="0.25">
      <c r="A51" s="236" t="s">
        <v>338</v>
      </c>
      <c r="B51" s="237"/>
      <c r="C51" s="237"/>
      <c r="D51" s="237"/>
    </row>
    <row r="52" spans="1:6" x14ac:dyDescent="0.25">
      <c r="A52" s="41" t="s">
        <v>154</v>
      </c>
      <c r="B52" s="41" t="s">
        <v>10</v>
      </c>
      <c r="C52" s="41" t="s">
        <v>86</v>
      </c>
      <c r="D52" s="41" t="s">
        <v>155</v>
      </c>
    </row>
    <row r="53" spans="1:6" s="42" customFormat="1" x14ac:dyDescent="0.25">
      <c r="A53" s="43" t="s">
        <v>193</v>
      </c>
      <c r="B53" s="75">
        <v>1</v>
      </c>
      <c r="C53" s="68"/>
      <c r="D53" s="69"/>
    </row>
    <row r="54" spans="1:6" s="47" customFormat="1" x14ac:dyDescent="0.25">
      <c r="A54" s="45" t="s">
        <v>157</v>
      </c>
      <c r="B54" s="46">
        <v>7890</v>
      </c>
      <c r="C54" s="45"/>
      <c r="D54" s="45" t="s">
        <v>436</v>
      </c>
    </row>
    <row r="55" spans="1:6" s="54" customFormat="1" x14ac:dyDescent="0.25">
      <c r="A55" s="61" t="s">
        <v>214</v>
      </c>
      <c r="B55" s="89">
        <f>230*35%*12</f>
        <v>966</v>
      </c>
      <c r="C55" s="52" t="s">
        <v>158</v>
      </c>
      <c r="D55" s="45" t="s">
        <v>345</v>
      </c>
      <c r="E55" s="87"/>
      <c r="F55" s="55"/>
    </row>
    <row r="56" spans="1:6" x14ac:dyDescent="0.25">
      <c r="A56" s="43" t="s">
        <v>194</v>
      </c>
      <c r="B56" s="240">
        <f>+(912-841)/912</f>
        <v>7.7850877192982462E-2</v>
      </c>
      <c r="C56" s="66"/>
      <c r="D56" s="43" t="s">
        <v>339</v>
      </c>
    </row>
    <row r="57" spans="1:6" s="54" customFormat="1" x14ac:dyDescent="0.25">
      <c r="A57" s="61" t="s">
        <v>217</v>
      </c>
      <c r="B57" s="90">
        <f>+B55*(1-B56)</f>
        <v>890.79605263157896</v>
      </c>
      <c r="C57" s="86" t="s">
        <v>158</v>
      </c>
      <c r="D57" s="63" t="s">
        <v>344</v>
      </c>
    </row>
    <row r="58" spans="1:6" x14ac:dyDescent="0.25">
      <c r="A58" s="64" t="s">
        <v>184</v>
      </c>
      <c r="B58" s="79">
        <f>+B53*(B55-B57)*0.086/1000</f>
        <v>6.4675394736842086E-3</v>
      </c>
      <c r="C58" s="66" t="s">
        <v>160</v>
      </c>
      <c r="D58" s="64"/>
    </row>
    <row r="59" spans="1:6" x14ac:dyDescent="0.25">
      <c r="A59" s="43" t="s">
        <v>161</v>
      </c>
      <c r="B59" s="59">
        <v>10</v>
      </c>
      <c r="C59" s="43" t="s">
        <v>162</v>
      </c>
      <c r="D59" s="61" t="s">
        <v>334</v>
      </c>
    </row>
    <row r="60" spans="1:6" x14ac:dyDescent="0.25">
      <c r="A60" s="43" t="s">
        <v>163</v>
      </c>
      <c r="B60" s="72">
        <v>7.4999999999999997E-2</v>
      </c>
      <c r="C60" s="43" t="s">
        <v>183</v>
      </c>
      <c r="D60" s="43"/>
    </row>
    <row r="61" spans="1:6" x14ac:dyDescent="0.25">
      <c r="A61" s="43" t="s">
        <v>164</v>
      </c>
      <c r="B61" s="252">
        <f>+PV(B60,B59,-B58,0,1)</f>
        <v>4.772324312337034E-2</v>
      </c>
      <c r="C61" s="43" t="s">
        <v>165</v>
      </c>
      <c r="D61" s="43"/>
    </row>
    <row r="62" spans="1:6" x14ac:dyDescent="0.25">
      <c r="A62" s="58" t="s">
        <v>325</v>
      </c>
      <c r="B62" s="46">
        <v>3</v>
      </c>
      <c r="C62" s="43"/>
      <c r="D62" s="43"/>
    </row>
    <row r="63" spans="1:6" s="42" customFormat="1" x14ac:dyDescent="0.25">
      <c r="A63" s="58" t="s">
        <v>170</v>
      </c>
      <c r="B63" s="286">
        <v>1</v>
      </c>
      <c r="C63" s="43"/>
      <c r="D63" s="43" t="s">
        <v>323</v>
      </c>
    </row>
    <row r="64" spans="1:6" s="55" customFormat="1" x14ac:dyDescent="0.25">
      <c r="A64" s="284" t="s">
        <v>171</v>
      </c>
      <c r="B64" s="288">
        <f>+B61*B62*B63</f>
        <v>0.14316972937011102</v>
      </c>
      <c r="C64" s="61" t="s">
        <v>165</v>
      </c>
      <c r="D64" s="61"/>
    </row>
    <row r="65" spans="1:9" x14ac:dyDescent="0.25">
      <c r="A65" s="43" t="s">
        <v>140</v>
      </c>
      <c r="B65" s="60">
        <v>1000</v>
      </c>
      <c r="C65" s="43" t="s">
        <v>186</v>
      </c>
      <c r="D65" s="43"/>
    </row>
    <row r="66" spans="1:9" x14ac:dyDescent="0.25">
      <c r="A66" s="43" t="s">
        <v>335</v>
      </c>
      <c r="B66" s="62">
        <f>+B64*B65</f>
        <v>143.16972937011101</v>
      </c>
      <c r="C66" s="61" t="s">
        <v>130</v>
      </c>
      <c r="D66" s="81"/>
    </row>
    <row r="67" spans="1:9" s="42" customFormat="1" x14ac:dyDescent="0.25">
      <c r="A67" s="144" t="s">
        <v>331</v>
      </c>
      <c r="B67" s="423">
        <v>6.4577055000000003</v>
      </c>
      <c r="C67" s="102" t="s">
        <v>330</v>
      </c>
      <c r="D67" s="231" t="s">
        <v>547</v>
      </c>
    </row>
    <row r="68" spans="1:9" s="42" customFormat="1" ht="14.25" customHeight="1" x14ac:dyDescent="0.25">
      <c r="A68" s="144" t="s">
        <v>329</v>
      </c>
      <c r="B68" s="230">
        <f>+B58*B67*1000/0.086</f>
        <v>485.64494454276314</v>
      </c>
      <c r="C68" s="144" t="s">
        <v>332</v>
      </c>
      <c r="D68" s="64"/>
    </row>
    <row r="69" spans="1:9" s="47" customFormat="1" ht="18" customHeight="1" x14ac:dyDescent="0.25">
      <c r="A69" s="56" t="s">
        <v>168</v>
      </c>
      <c r="B69" s="233">
        <f>B54/(-PV(10%,B59,B68,0,0))</f>
        <v>2.6440328063786707</v>
      </c>
      <c r="C69" s="45"/>
      <c r="D69" s="45"/>
      <c r="E69" s="42"/>
      <c r="F69" s="57"/>
    </row>
    <row r="70" spans="1:9" s="42" customFormat="1" x14ac:dyDescent="0.25">
      <c r="A70" s="61" t="s">
        <v>324</v>
      </c>
      <c r="B70" s="238">
        <f>+B66/B54</f>
        <v>1.8145719818771992E-2</v>
      </c>
      <c r="C70" s="43"/>
      <c r="D70" s="43"/>
      <c r="E70"/>
      <c r="F70" s="55"/>
    </row>
    <row r="72" spans="1:9" ht="15.75" x14ac:dyDescent="0.25">
      <c r="A72" s="236" t="s">
        <v>195</v>
      </c>
      <c r="B72" s="237"/>
      <c r="C72" s="237"/>
      <c r="D72" s="237"/>
    </row>
    <row r="73" spans="1:9" x14ac:dyDescent="0.25">
      <c r="A73" s="41" t="s">
        <v>154</v>
      </c>
      <c r="B73" s="41" t="s">
        <v>10</v>
      </c>
      <c r="C73" s="41" t="s">
        <v>86</v>
      </c>
      <c r="D73" s="41" t="s">
        <v>155</v>
      </c>
    </row>
    <row r="74" spans="1:9" s="42" customFormat="1" x14ac:dyDescent="0.25">
      <c r="A74" s="43" t="s">
        <v>193</v>
      </c>
      <c r="B74" s="75">
        <v>1</v>
      </c>
      <c r="C74" s="68"/>
      <c r="D74" s="69"/>
      <c r="E74" s="262"/>
      <c r="I74" s="261"/>
    </row>
    <row r="75" spans="1:9" s="47" customFormat="1" x14ac:dyDescent="0.25">
      <c r="A75" s="45" t="s">
        <v>157</v>
      </c>
      <c r="B75" s="46">
        <f>317*45</f>
        <v>14265</v>
      </c>
      <c r="C75" s="45"/>
      <c r="D75" s="45" t="s">
        <v>438</v>
      </c>
      <c r="E75" s="239" t="s">
        <v>340</v>
      </c>
    </row>
    <row r="76" spans="1:9" s="55" customFormat="1" x14ac:dyDescent="0.25">
      <c r="A76" s="61" t="s">
        <v>341</v>
      </c>
      <c r="B76" s="91">
        <v>354</v>
      </c>
      <c r="C76" s="61" t="s">
        <v>158</v>
      </c>
      <c r="D76" s="45" t="s">
        <v>346</v>
      </c>
      <c r="E76" s="102" t="s">
        <v>373</v>
      </c>
      <c r="F76" s="102"/>
      <c r="G76" s="263">
        <f>+B76/(230*12*0.65)</f>
        <v>0.19732441471571907</v>
      </c>
    </row>
    <row r="77" spans="1:9" s="54" customFormat="1" x14ac:dyDescent="0.25">
      <c r="A77" s="61" t="s">
        <v>342</v>
      </c>
      <c r="B77" s="90">
        <v>276</v>
      </c>
      <c r="C77" s="86" t="s">
        <v>158</v>
      </c>
      <c r="D77" s="45" t="s">
        <v>343</v>
      </c>
    </row>
    <row r="78" spans="1:9" x14ac:dyDescent="0.25">
      <c r="A78" s="43" t="s">
        <v>196</v>
      </c>
      <c r="B78" s="241">
        <f>+(B76-B77)/B76</f>
        <v>0.22033898305084745</v>
      </c>
      <c r="C78" s="66"/>
      <c r="D78" s="235"/>
    </row>
    <row r="79" spans="1:9" x14ac:dyDescent="0.25">
      <c r="A79" s="64" t="s">
        <v>184</v>
      </c>
      <c r="B79" s="79">
        <f>+B74*(B76-B77)*0.086/1000</f>
        <v>6.7079999999999996E-3</v>
      </c>
      <c r="C79" s="66" t="s">
        <v>160</v>
      </c>
      <c r="D79" s="64"/>
    </row>
    <row r="80" spans="1:9" x14ac:dyDescent="0.25">
      <c r="A80" s="43" t="s">
        <v>161</v>
      </c>
      <c r="B80" s="629">
        <v>12</v>
      </c>
      <c r="C80" s="43" t="s">
        <v>162</v>
      </c>
      <c r="D80" s="61" t="s">
        <v>541</v>
      </c>
    </row>
    <row r="81" spans="1:12" x14ac:dyDescent="0.25">
      <c r="A81" s="43" t="s">
        <v>163</v>
      </c>
      <c r="B81" s="72">
        <v>7.4999999999999997E-2</v>
      </c>
      <c r="C81" s="43" t="s">
        <v>183</v>
      </c>
      <c r="D81" s="43"/>
    </row>
    <row r="82" spans="1:12" x14ac:dyDescent="0.25">
      <c r="A82" s="43" t="s">
        <v>164</v>
      </c>
      <c r="B82" s="253">
        <f>+PV(B81,B80,-B79,0,1)</f>
        <v>5.577986516531816E-2</v>
      </c>
      <c r="C82" s="43" t="s">
        <v>165</v>
      </c>
      <c r="D82" s="43"/>
      <c r="E82" s="80">
        <f>+B82/0.086*1000</f>
        <v>648.60308331765305</v>
      </c>
      <c r="F82" t="s">
        <v>166</v>
      </c>
      <c r="G82" t="s">
        <v>197</v>
      </c>
      <c r="K82">
        <v>560</v>
      </c>
    </row>
    <row r="83" spans="1:12" x14ac:dyDescent="0.25">
      <c r="A83" s="58" t="s">
        <v>325</v>
      </c>
      <c r="B83" s="46">
        <v>3</v>
      </c>
      <c r="C83" s="43"/>
      <c r="D83" s="43"/>
    </row>
    <row r="84" spans="1:12" s="42" customFormat="1" x14ac:dyDescent="0.25">
      <c r="A84" s="58" t="s">
        <v>170</v>
      </c>
      <c r="B84" s="286">
        <v>1</v>
      </c>
      <c r="C84" s="43"/>
      <c r="D84" s="43"/>
    </row>
    <row r="85" spans="1:12" s="55" customFormat="1" x14ac:dyDescent="0.25">
      <c r="A85" s="284" t="s">
        <v>171</v>
      </c>
      <c r="B85" s="288">
        <f>+B82*B83*B84</f>
        <v>0.16733959549595448</v>
      </c>
      <c r="C85" s="61" t="s">
        <v>165</v>
      </c>
      <c r="D85" s="61"/>
    </row>
    <row r="86" spans="1:12" x14ac:dyDescent="0.25">
      <c r="A86" s="43" t="s">
        <v>140</v>
      </c>
      <c r="B86" s="60">
        <v>1000</v>
      </c>
      <c r="C86" s="43" t="s">
        <v>186</v>
      </c>
      <c r="D86" s="43"/>
    </row>
    <row r="87" spans="1:12" x14ac:dyDescent="0.25">
      <c r="A87" s="43" t="s">
        <v>335</v>
      </c>
      <c r="B87" s="62">
        <f>+B82*B83*B86</f>
        <v>167.33959549595448</v>
      </c>
      <c r="C87" s="61" t="s">
        <v>130</v>
      </c>
      <c r="D87" s="81"/>
    </row>
    <row r="88" spans="1:12" s="42" customFormat="1" x14ac:dyDescent="0.25">
      <c r="A88" s="144" t="s">
        <v>331</v>
      </c>
      <c r="B88" s="423">
        <v>6.4577055000000003</v>
      </c>
      <c r="C88" s="102" t="s">
        <v>330</v>
      </c>
      <c r="D88" s="231" t="s">
        <v>547</v>
      </c>
      <c r="I88" s="42" t="s">
        <v>380</v>
      </c>
      <c r="K88" s="268" t="s">
        <v>386</v>
      </c>
    </row>
    <row r="89" spans="1:12" s="42" customFormat="1" ht="14.25" customHeight="1" x14ac:dyDescent="0.25">
      <c r="A89" s="144" t="s">
        <v>329</v>
      </c>
      <c r="B89" s="230">
        <f>+B79*B88*1000/0.086</f>
        <v>503.70102899999995</v>
      </c>
      <c r="C89" s="144" t="s">
        <v>332</v>
      </c>
      <c r="I89" s="42" t="s">
        <v>381</v>
      </c>
      <c r="J89" s="42">
        <v>8</v>
      </c>
      <c r="K89" s="42">
        <v>6</v>
      </c>
    </row>
    <row r="90" spans="1:12" s="47" customFormat="1" ht="18" customHeight="1" x14ac:dyDescent="0.25">
      <c r="A90" s="56" t="s">
        <v>168</v>
      </c>
      <c r="B90" s="233">
        <f>B75/(-PV(10%,B80,B89,0,0))</f>
        <v>4.1563915286454538</v>
      </c>
      <c r="C90" s="45"/>
      <c r="D90" s="45"/>
      <c r="E90" s="42"/>
      <c r="F90" s="57"/>
      <c r="I90" s="47" t="s">
        <v>382</v>
      </c>
      <c r="J90" s="47">
        <f>3</f>
        <v>3</v>
      </c>
      <c r="K90" s="47">
        <v>4</v>
      </c>
    </row>
    <row r="91" spans="1:12" s="42" customFormat="1" x14ac:dyDescent="0.25">
      <c r="A91" s="61" t="s">
        <v>324</v>
      </c>
      <c r="B91" s="238">
        <f>+B87/B75</f>
        <v>1.1730781317627373E-2</v>
      </c>
      <c r="C91" s="43"/>
      <c r="D91" s="43"/>
      <c r="E91"/>
      <c r="F91" s="42" t="s">
        <v>378</v>
      </c>
      <c r="G91" s="42">
        <f>0.912</f>
        <v>0.91200000000000003</v>
      </c>
      <c r="J91" s="42">
        <f>+J89*J90*30</f>
        <v>720</v>
      </c>
      <c r="K91" s="42">
        <f>+K89*K90*30</f>
        <v>720</v>
      </c>
      <c r="L91" s="42" t="s">
        <v>391</v>
      </c>
    </row>
    <row r="92" spans="1:12" x14ac:dyDescent="0.25">
      <c r="F92" s="42" t="s">
        <v>379</v>
      </c>
      <c r="G92">
        <v>0.64900000000000002</v>
      </c>
      <c r="I92" s="42" t="s">
        <v>384</v>
      </c>
    </row>
    <row r="93" spans="1:12" ht="15.75" x14ac:dyDescent="0.25">
      <c r="A93" s="236" t="s">
        <v>198</v>
      </c>
      <c r="B93" s="237"/>
      <c r="C93" s="237"/>
      <c r="D93" s="237"/>
      <c r="I93" s="42" t="s">
        <v>385</v>
      </c>
      <c r="J93">
        <v>500</v>
      </c>
    </row>
    <row r="94" spans="1:12" x14ac:dyDescent="0.25">
      <c r="A94" s="41" t="s">
        <v>154</v>
      </c>
      <c r="B94" s="41" t="s">
        <v>10</v>
      </c>
      <c r="C94" s="41" t="s">
        <v>86</v>
      </c>
      <c r="D94" s="41" t="s">
        <v>155</v>
      </c>
    </row>
    <row r="95" spans="1:12" s="42" customFormat="1" x14ac:dyDescent="0.25">
      <c r="A95" s="43" t="s">
        <v>193</v>
      </c>
      <c r="B95" s="75">
        <v>1</v>
      </c>
      <c r="C95" s="68"/>
      <c r="D95" s="69"/>
    </row>
    <row r="96" spans="1:12" s="42" customFormat="1" x14ac:dyDescent="0.25">
      <c r="A96" s="43" t="s">
        <v>243</v>
      </c>
      <c r="B96" s="103">
        <v>12000</v>
      </c>
      <c r="C96" s="68" t="s">
        <v>244</v>
      </c>
      <c r="D96" s="69" t="s">
        <v>352</v>
      </c>
      <c r="J96" s="42" t="s">
        <v>396</v>
      </c>
    </row>
    <row r="97" spans="1:11" s="42" customFormat="1" ht="15.75" thickBot="1" x14ac:dyDescent="0.3">
      <c r="A97" s="45" t="s">
        <v>157</v>
      </c>
      <c r="B97" s="46">
        <v>14550</v>
      </c>
      <c r="C97" s="45"/>
      <c r="D97" s="45" t="s">
        <v>435</v>
      </c>
      <c r="E97" s="42">
        <f>8*0.65</f>
        <v>5.2</v>
      </c>
      <c r="G97" s="264"/>
      <c r="I97" s="42" t="s">
        <v>383</v>
      </c>
      <c r="J97" s="268" t="s">
        <v>380</v>
      </c>
      <c r="K97" s="42" t="s">
        <v>387</v>
      </c>
    </row>
    <row r="98" spans="1:11" s="243" customFormat="1" ht="30" x14ac:dyDescent="0.25">
      <c r="A98" s="242" t="s">
        <v>349</v>
      </c>
      <c r="B98" s="244">
        <f>+K98</f>
        <v>569.36359345548397</v>
      </c>
      <c r="C98" s="242" t="s">
        <v>158</v>
      </c>
      <c r="D98" s="245" t="s">
        <v>392</v>
      </c>
      <c r="E98" s="246">
        <v>26.012591075268823</v>
      </c>
      <c r="F98" s="247" t="s">
        <v>375</v>
      </c>
      <c r="G98" s="146">
        <f>+E98/(0.7*1*30)</f>
        <v>1.2386948131080391</v>
      </c>
      <c r="H98" s="243" t="s">
        <v>376</v>
      </c>
      <c r="I98" s="267">
        <f>$G$91*B98</f>
        <v>519.25959723140136</v>
      </c>
      <c r="J98" s="267">
        <f>E98*($J$90)*$J$89</f>
        <v>624.30218580645169</v>
      </c>
      <c r="K98" s="266">
        <f>J98*$G$91</f>
        <v>569.36359345548397</v>
      </c>
    </row>
    <row r="99" spans="1:11" s="243" customFormat="1" ht="30.75" thickBot="1" x14ac:dyDescent="0.3">
      <c r="A99" s="242" t="s">
        <v>350</v>
      </c>
      <c r="B99" s="244">
        <f>+K99</f>
        <v>368.51496645806452</v>
      </c>
      <c r="C99" s="242" t="s">
        <v>158</v>
      </c>
      <c r="D99" s="245" t="s">
        <v>393</v>
      </c>
      <c r="E99" s="248">
        <v>23.659152956989246</v>
      </c>
      <c r="F99" s="249" t="s">
        <v>375</v>
      </c>
      <c r="G99" s="146">
        <f>+E99/(0.7*1*30)</f>
        <v>1.1266263312852023</v>
      </c>
      <c r="H99" s="243" t="s">
        <v>376</v>
      </c>
      <c r="I99" s="267">
        <f>$G$92*B99</f>
        <v>239.16621323128388</v>
      </c>
      <c r="J99" s="267">
        <f>E99*($J$90)*$J$89</f>
        <v>567.8196709677419</v>
      </c>
      <c r="K99" s="266">
        <f>J99*$G$92</f>
        <v>368.51496645806452</v>
      </c>
    </row>
    <row r="100" spans="1:11" s="55" customFormat="1" ht="15.75" thickBot="1" x14ac:dyDescent="0.3">
      <c r="A100" s="61" t="s">
        <v>215</v>
      </c>
      <c r="B100" s="91">
        <f>+B98+B99</f>
        <v>937.87855991354854</v>
      </c>
      <c r="C100" s="61" t="s">
        <v>158</v>
      </c>
      <c r="D100" s="61"/>
      <c r="F100" s="54"/>
    </row>
    <row r="101" spans="1:11" s="243" customFormat="1" ht="30" x14ac:dyDescent="0.25">
      <c r="A101" s="242" t="s">
        <v>347</v>
      </c>
      <c r="B101" s="244">
        <f>+K101</f>
        <v>497.9240048571416</v>
      </c>
      <c r="C101" s="242" t="s">
        <v>158</v>
      </c>
      <c r="D101" s="245" t="s">
        <v>394</v>
      </c>
      <c r="E101" s="246">
        <v>22.7487209821428</v>
      </c>
      <c r="F101" s="247" t="s">
        <v>199</v>
      </c>
      <c r="G101" s="146">
        <f>+E101/(0.7*1*30)</f>
        <v>1.0832724277210857</v>
      </c>
      <c r="H101" s="243" t="s">
        <v>376</v>
      </c>
      <c r="I101" s="267">
        <f>$G$91*B101</f>
        <v>454.10669242971318</v>
      </c>
      <c r="J101" s="267">
        <f>E101*($J$90)*$J$89</f>
        <v>545.96930357142719</v>
      </c>
      <c r="K101" s="266">
        <f>J101*$G$91</f>
        <v>497.9240048571416</v>
      </c>
    </row>
    <row r="102" spans="1:11" s="243" customFormat="1" ht="30.75" thickBot="1" x14ac:dyDescent="0.3">
      <c r="A102" s="242" t="s">
        <v>348</v>
      </c>
      <c r="B102" s="244">
        <f>+K102</f>
        <v>332.09053943214292</v>
      </c>
      <c r="C102" s="242" t="s">
        <v>158</v>
      </c>
      <c r="D102" s="245" t="s">
        <v>395</v>
      </c>
      <c r="E102" s="248">
        <v>21.32065610119048</v>
      </c>
      <c r="F102" s="249" t="s">
        <v>199</v>
      </c>
      <c r="G102" s="146">
        <f>+E102/(0.7*1*30)</f>
        <v>1.0152693381519275</v>
      </c>
      <c r="H102" s="243" t="s">
        <v>376</v>
      </c>
      <c r="I102" s="267">
        <f>$G$92*B102</f>
        <v>215.52676009146077</v>
      </c>
      <c r="J102" s="267">
        <f>E102*($J$90)*$J$89</f>
        <v>511.69574642857151</v>
      </c>
      <c r="K102" s="266">
        <f>J102*$G$92</f>
        <v>332.09053943214292</v>
      </c>
    </row>
    <row r="103" spans="1:11" s="54" customFormat="1" x14ac:dyDescent="0.25">
      <c r="A103" s="61" t="s">
        <v>216</v>
      </c>
      <c r="B103" s="90">
        <f>+B101+B102</f>
        <v>830.01454428928446</v>
      </c>
      <c r="C103" s="86" t="s">
        <v>158</v>
      </c>
      <c r="D103" s="250" t="s">
        <v>351</v>
      </c>
      <c r="E103"/>
      <c r="F103"/>
    </row>
    <row r="104" spans="1:11" x14ac:dyDescent="0.25">
      <c r="A104" s="64" t="s">
        <v>184</v>
      </c>
      <c r="B104" s="82">
        <f>+B95*(B100-B103)/1000*0.086</f>
        <v>9.2763053436867096E-3</v>
      </c>
      <c r="C104" s="66" t="s">
        <v>160</v>
      </c>
      <c r="D104" s="265"/>
    </row>
    <row r="105" spans="1:11" x14ac:dyDescent="0.25">
      <c r="A105" s="43" t="s">
        <v>161</v>
      </c>
      <c r="B105" s="629">
        <v>8</v>
      </c>
      <c r="C105" s="43" t="s">
        <v>162</v>
      </c>
      <c r="D105" s="61" t="s">
        <v>542</v>
      </c>
      <c r="H105" s="243" t="s">
        <v>388</v>
      </c>
      <c r="I105" s="269">
        <f>I98+I99</f>
        <v>758.42581046268526</v>
      </c>
      <c r="J105" s="269">
        <f>I105/12</f>
        <v>63.202150871890439</v>
      </c>
    </row>
    <row r="106" spans="1:11" ht="30" x14ac:dyDescent="0.25">
      <c r="A106" s="43" t="s">
        <v>163</v>
      </c>
      <c r="B106" s="72">
        <v>7.4999999999999997E-2</v>
      </c>
      <c r="C106" s="43" t="s">
        <v>183</v>
      </c>
      <c r="D106" s="43"/>
      <c r="H106" s="243" t="s">
        <v>389</v>
      </c>
      <c r="I106" s="228">
        <f>+I105/(230*12)</f>
        <v>0.27479196031256714</v>
      </c>
    </row>
    <row r="107" spans="1:11" x14ac:dyDescent="0.25">
      <c r="A107" s="43" t="s">
        <v>164</v>
      </c>
      <c r="B107" s="97">
        <f>+PV(B106,B105,-B104,0,1)</f>
        <v>5.8409196484411015E-2</v>
      </c>
      <c r="C107" s="43" t="s">
        <v>165</v>
      </c>
      <c r="D107" s="43"/>
      <c r="E107" s="80">
        <f>+B107/0.086*1000</f>
        <v>679.17670330710484</v>
      </c>
      <c r="F107" t="s">
        <v>166</v>
      </c>
    </row>
    <row r="108" spans="1:11" x14ac:dyDescent="0.25">
      <c r="A108" s="58" t="s">
        <v>325</v>
      </c>
      <c r="B108" s="46">
        <v>3</v>
      </c>
      <c r="C108" s="43"/>
      <c r="D108" s="43"/>
      <c r="H108" t="s">
        <v>390</v>
      </c>
    </row>
    <row r="109" spans="1:11" s="42" customFormat="1" x14ac:dyDescent="0.25">
      <c r="A109" s="58" t="s">
        <v>170</v>
      </c>
      <c r="B109" s="286">
        <v>1</v>
      </c>
      <c r="C109" s="43"/>
      <c r="D109" s="43"/>
    </row>
    <row r="110" spans="1:11" s="42" customFormat="1" x14ac:dyDescent="0.25">
      <c r="A110" s="284" t="s">
        <v>171</v>
      </c>
      <c r="B110" s="97">
        <f>+B107*B108*B109</f>
        <v>0.17522758945323305</v>
      </c>
      <c r="C110" s="43" t="s">
        <v>165</v>
      </c>
      <c r="D110" s="43"/>
    </row>
    <row r="111" spans="1:11" x14ac:dyDescent="0.25">
      <c r="A111" s="43" t="s">
        <v>140</v>
      </c>
      <c r="B111" s="60">
        <v>1000</v>
      </c>
      <c r="C111" s="43" t="s">
        <v>186</v>
      </c>
      <c r="D111" s="43"/>
    </row>
    <row r="112" spans="1:11" x14ac:dyDescent="0.25">
      <c r="A112" s="43" t="s">
        <v>335</v>
      </c>
      <c r="B112" s="62">
        <f>+B110*B111</f>
        <v>175.22758945323307</v>
      </c>
      <c r="C112" s="61" t="s">
        <v>130</v>
      </c>
      <c r="D112" s="81"/>
    </row>
    <row r="113" spans="1:22" s="42" customFormat="1" x14ac:dyDescent="0.25">
      <c r="A113" s="144" t="s">
        <v>374</v>
      </c>
      <c r="B113" s="423">
        <v>6.4577055000000003</v>
      </c>
      <c r="C113" s="102" t="s">
        <v>330</v>
      </c>
      <c r="D113" s="231" t="s">
        <v>547</v>
      </c>
    </row>
    <row r="114" spans="1:22" s="42" customFormat="1" ht="14.25" customHeight="1" x14ac:dyDescent="0.25">
      <c r="A114" s="144" t="s">
        <v>329</v>
      </c>
      <c r="B114" s="230">
        <f>+B104*B113*1000/0.086</f>
        <v>696.55404694889603</v>
      </c>
      <c r="C114" s="144" t="s">
        <v>332</v>
      </c>
    </row>
    <row r="115" spans="1:22" s="47" customFormat="1" ht="18" customHeight="1" x14ac:dyDescent="0.25">
      <c r="A115" s="56" t="s">
        <v>168</v>
      </c>
      <c r="B115" s="233">
        <f>B97/(-PV(10%,B105,B114,0,0))</f>
        <v>3.9154326468418739</v>
      </c>
      <c r="C115" s="45"/>
      <c r="D115" s="45"/>
      <c r="E115" s="42"/>
      <c r="F115" s="57"/>
    </row>
    <row r="116" spans="1:22" s="42" customFormat="1" x14ac:dyDescent="0.25">
      <c r="A116" s="61" t="s">
        <v>324</v>
      </c>
      <c r="B116" s="238">
        <f>+B112/B97</f>
        <v>1.204313329575485E-2</v>
      </c>
      <c r="C116" s="43"/>
      <c r="D116" s="43"/>
      <c r="E116"/>
      <c r="F116" s="55"/>
    </row>
    <row r="118" spans="1:22" ht="15.75" x14ac:dyDescent="0.25">
      <c r="A118" s="236" t="s">
        <v>336</v>
      </c>
      <c r="B118" s="237"/>
      <c r="C118" s="237"/>
      <c r="D118" s="237"/>
      <c r="G118" s="236" t="s">
        <v>337</v>
      </c>
      <c r="H118" s="237"/>
      <c r="I118" s="237"/>
      <c r="J118" s="237"/>
    </row>
    <row r="119" spans="1:22" s="42" customFormat="1" x14ac:dyDescent="0.25">
      <c r="A119" s="41" t="s">
        <v>154</v>
      </c>
      <c r="B119" s="41" t="s">
        <v>10</v>
      </c>
      <c r="C119" s="41" t="s">
        <v>86</v>
      </c>
      <c r="D119" s="41" t="s">
        <v>155</v>
      </c>
      <c r="G119" s="41" t="s">
        <v>154</v>
      </c>
      <c r="H119" s="41" t="s">
        <v>10</v>
      </c>
      <c r="I119" s="41" t="s">
        <v>86</v>
      </c>
      <c r="J119" s="41" t="s">
        <v>155</v>
      </c>
      <c r="O119"/>
      <c r="P119"/>
      <c r="Q119" t="s">
        <v>397</v>
      </c>
      <c r="R119" s="270">
        <v>60</v>
      </c>
      <c r="S119" s="270" t="s">
        <v>398</v>
      </c>
      <c r="T119"/>
      <c r="U119"/>
      <c r="V119"/>
    </row>
    <row r="120" spans="1:22" s="42" customFormat="1" x14ac:dyDescent="0.25">
      <c r="A120" s="43" t="s">
        <v>187</v>
      </c>
      <c r="B120" s="75">
        <v>1</v>
      </c>
      <c r="C120" s="68"/>
      <c r="D120" s="69"/>
      <c r="G120" s="43" t="s">
        <v>187</v>
      </c>
      <c r="H120" s="75">
        <v>1</v>
      </c>
      <c r="I120" s="68"/>
      <c r="J120" s="69"/>
      <c r="O120"/>
      <c r="P120"/>
      <c r="Q120" t="s">
        <v>399</v>
      </c>
      <c r="R120" s="270">
        <f>R119*Q125</f>
        <v>780</v>
      </c>
      <c r="S120" s="270" t="s">
        <v>400</v>
      </c>
      <c r="T120"/>
      <c r="U120"/>
      <c r="V120"/>
    </row>
    <row r="121" spans="1:22" s="42" customFormat="1" x14ac:dyDescent="0.25">
      <c r="A121" s="64" t="s">
        <v>188</v>
      </c>
      <c r="B121" s="76">
        <v>10</v>
      </c>
      <c r="C121" s="66" t="s">
        <v>189</v>
      </c>
      <c r="D121" s="64"/>
      <c r="E121" s="151"/>
      <c r="F121" s="47"/>
      <c r="G121" s="64" t="s">
        <v>188</v>
      </c>
      <c r="H121" s="76">
        <v>18</v>
      </c>
      <c r="I121" s="66" t="s">
        <v>189</v>
      </c>
      <c r="J121" s="64"/>
      <c r="O121"/>
      <c r="P121"/>
      <c r="Q121"/>
      <c r="R121"/>
      <c r="S121"/>
      <c r="T121"/>
      <c r="U121"/>
      <c r="V121"/>
    </row>
    <row r="122" spans="1:22" s="42" customFormat="1" x14ac:dyDescent="0.25">
      <c r="A122" s="64" t="s">
        <v>360</v>
      </c>
      <c r="B122" s="76">
        <f>90*B120</f>
        <v>90</v>
      </c>
      <c r="C122" s="66" t="s">
        <v>359</v>
      </c>
      <c r="D122" s="64"/>
      <c r="E122" s="151"/>
      <c r="F122" s="47"/>
      <c r="G122" s="64" t="s">
        <v>360</v>
      </c>
      <c r="H122" s="76">
        <v>200</v>
      </c>
      <c r="I122" s="66" t="s">
        <v>359</v>
      </c>
      <c r="J122" s="64"/>
      <c r="O122"/>
      <c r="P122"/>
      <c r="Q122"/>
      <c r="R122"/>
      <c r="S122"/>
      <c r="T122"/>
      <c r="U122"/>
      <c r="V122"/>
    </row>
    <row r="123" spans="1:22" s="42" customFormat="1" x14ac:dyDescent="0.25">
      <c r="A123" s="64" t="s">
        <v>190</v>
      </c>
      <c r="B123" s="256">
        <v>14</v>
      </c>
      <c r="C123" s="66" t="s">
        <v>189</v>
      </c>
      <c r="D123" s="64" t="s">
        <v>191</v>
      </c>
      <c r="E123" s="152"/>
      <c r="G123" s="64" t="s">
        <v>190</v>
      </c>
      <c r="H123" s="257">
        <v>36</v>
      </c>
      <c r="I123" s="66" t="s">
        <v>189</v>
      </c>
      <c r="J123" s="64"/>
      <c r="O123" t="s">
        <v>401</v>
      </c>
      <c r="P123"/>
      <c r="Q123"/>
      <c r="R123"/>
      <c r="S123"/>
      <c r="T123" t="s">
        <v>402</v>
      </c>
      <c r="U123"/>
      <c r="V123"/>
    </row>
    <row r="124" spans="1:22" s="42" customFormat="1" x14ac:dyDescent="0.25">
      <c r="A124" s="64" t="s">
        <v>439</v>
      </c>
      <c r="B124" s="255">
        <f>+B121/B123</f>
        <v>0.7142857142857143</v>
      </c>
      <c r="C124" s="66"/>
      <c r="D124" s="64"/>
      <c r="F124" s="47"/>
      <c r="G124" s="64" t="s">
        <v>440</v>
      </c>
      <c r="H124" s="255">
        <f>+H121/H123</f>
        <v>0.5</v>
      </c>
      <c r="I124" s="66"/>
      <c r="J124" s="64"/>
      <c r="O124"/>
      <c r="P124" s="270" t="s">
        <v>403</v>
      </c>
      <c r="Q124" s="270" t="s">
        <v>404</v>
      </c>
      <c r="R124" s="270" t="s">
        <v>405</v>
      </c>
      <c r="S124"/>
      <c r="T124"/>
      <c r="U124"/>
      <c r="V124" s="270" t="s">
        <v>405</v>
      </c>
    </row>
    <row r="125" spans="1:22" s="239" customFormat="1" x14ac:dyDescent="0.25">
      <c r="A125" s="280" t="s">
        <v>192</v>
      </c>
      <c r="B125" s="418">
        <v>8</v>
      </c>
      <c r="C125" s="419" t="s">
        <v>223</v>
      </c>
      <c r="D125" s="280"/>
      <c r="G125" s="280" t="s">
        <v>192</v>
      </c>
      <c r="H125" s="418">
        <v>8</v>
      </c>
      <c r="I125" s="419" t="s">
        <v>223</v>
      </c>
      <c r="J125" s="280"/>
      <c r="O125" s="420" t="s">
        <v>406</v>
      </c>
      <c r="P125" s="421">
        <v>1000</v>
      </c>
      <c r="Q125" s="421">
        <v>13</v>
      </c>
      <c r="R125" s="421">
        <f>$R$120/Q125</f>
        <v>60</v>
      </c>
      <c r="S125" s="420"/>
      <c r="T125" s="420"/>
      <c r="U125" s="420"/>
      <c r="V125" s="420"/>
    </row>
    <row r="126" spans="1:22" s="42" customFormat="1" x14ac:dyDescent="0.25">
      <c r="A126" s="64" t="s">
        <v>222</v>
      </c>
      <c r="B126" s="77">
        <v>5</v>
      </c>
      <c r="C126" s="66" t="s">
        <v>224</v>
      </c>
      <c r="D126" s="64"/>
      <c r="G126" s="64" t="s">
        <v>222</v>
      </c>
      <c r="H126" s="77">
        <v>5</v>
      </c>
      <c r="I126" s="66" t="s">
        <v>224</v>
      </c>
      <c r="J126" s="64"/>
      <c r="O126" s="271" t="s">
        <v>407</v>
      </c>
      <c r="P126" s="272">
        <v>6000</v>
      </c>
      <c r="Q126" s="272">
        <v>55</v>
      </c>
      <c r="R126" s="274">
        <f t="shared" ref="R126:R127" si="0">$R$120/Q126</f>
        <v>14.181818181818182</v>
      </c>
      <c r="S126"/>
      <c r="T126"/>
      <c r="U126" t="s">
        <v>407</v>
      </c>
      <c r="V126" s="274">
        <v>36</v>
      </c>
    </row>
    <row r="127" spans="1:22" s="42" customFormat="1" x14ac:dyDescent="0.25">
      <c r="A127" s="64" t="s">
        <v>225</v>
      </c>
      <c r="B127" s="77">
        <v>52</v>
      </c>
      <c r="C127" s="66" t="s">
        <v>228</v>
      </c>
      <c r="D127" s="64"/>
      <c r="G127" s="64" t="s">
        <v>225</v>
      </c>
      <c r="H127" s="77">
        <v>52</v>
      </c>
      <c r="I127" s="66" t="s">
        <v>228</v>
      </c>
      <c r="J127" s="64"/>
      <c r="O127" t="s">
        <v>408</v>
      </c>
      <c r="P127" s="270">
        <v>10000</v>
      </c>
      <c r="Q127" s="270">
        <v>80</v>
      </c>
      <c r="R127" s="274">
        <f t="shared" si="0"/>
        <v>9.75</v>
      </c>
      <c r="S127"/>
      <c r="T127"/>
      <c r="U127" t="s">
        <v>408</v>
      </c>
      <c r="V127" s="274">
        <v>18</v>
      </c>
    </row>
    <row r="128" spans="1:22" s="55" customFormat="1" x14ac:dyDescent="0.25">
      <c r="A128" s="61" t="s">
        <v>226</v>
      </c>
      <c r="B128" s="91">
        <f>+B123*B125*B126*B127/1000</f>
        <v>29.12</v>
      </c>
      <c r="C128" s="61" t="s">
        <v>158</v>
      </c>
      <c r="D128" s="61"/>
      <c r="F128" s="54"/>
      <c r="G128" s="61" t="s">
        <v>226</v>
      </c>
      <c r="H128" s="91">
        <f>+H123*H125*H126*H127/1000</f>
        <v>74.88</v>
      </c>
      <c r="I128" s="61" t="s">
        <v>158</v>
      </c>
      <c r="J128" s="61"/>
      <c r="O128"/>
      <c r="P128"/>
      <c r="Q128"/>
      <c r="R128"/>
      <c r="S128"/>
      <c r="T128"/>
      <c r="U128"/>
      <c r="V128"/>
    </row>
    <row r="129" spans="1:22" s="55" customFormat="1" x14ac:dyDescent="0.25">
      <c r="A129" s="61" t="s">
        <v>227</v>
      </c>
      <c r="B129" s="91">
        <f>+B121*B125*B126*B127/1000</f>
        <v>20.8</v>
      </c>
      <c r="C129" s="61" t="s">
        <v>158</v>
      </c>
      <c r="D129" s="61"/>
      <c r="F129" s="54"/>
      <c r="G129" s="61" t="s">
        <v>227</v>
      </c>
      <c r="H129" s="91">
        <f>+H121*H125*H126*H127/1000</f>
        <v>37.44</v>
      </c>
      <c r="I129" s="61" t="s">
        <v>158</v>
      </c>
      <c r="J129" s="61"/>
      <c r="O129"/>
      <c r="P129"/>
      <c r="Q129" t="s">
        <v>409</v>
      </c>
      <c r="R129" s="274">
        <v>10</v>
      </c>
      <c r="S129"/>
      <c r="T129"/>
      <c r="U129" t="s">
        <v>409</v>
      </c>
      <c r="V129" s="273">
        <v>10</v>
      </c>
    </row>
    <row r="130" spans="1:22" s="42" customFormat="1" x14ac:dyDescent="0.25">
      <c r="A130" s="64" t="s">
        <v>184</v>
      </c>
      <c r="B130" s="78">
        <f>+B128-B129</f>
        <v>8.32</v>
      </c>
      <c r="C130" s="66" t="s">
        <v>158</v>
      </c>
      <c r="D130" s="64"/>
      <c r="G130" s="64" t="s">
        <v>184</v>
      </c>
      <c r="H130" s="78">
        <f>+H128-H129</f>
        <v>37.44</v>
      </c>
      <c r="I130" s="66" t="s">
        <v>158</v>
      </c>
      <c r="J130" s="64"/>
      <c r="O130"/>
      <c r="P130"/>
      <c r="Q130" t="s">
        <v>410</v>
      </c>
      <c r="R130" s="274">
        <f>R126-R127</f>
        <v>4.4318181818181817</v>
      </c>
      <c r="S130"/>
      <c r="T130"/>
      <c r="U130" t="s">
        <v>410</v>
      </c>
      <c r="V130" s="273">
        <f>V126-V127</f>
        <v>18</v>
      </c>
    </row>
    <row r="131" spans="1:22" s="42" customFormat="1" x14ac:dyDescent="0.25">
      <c r="A131" s="64" t="s">
        <v>184</v>
      </c>
      <c r="B131" s="99">
        <f>+B130*0.086/1000</f>
        <v>7.1551999999999998E-4</v>
      </c>
      <c r="C131" s="66" t="s">
        <v>160</v>
      </c>
      <c r="D131" s="64"/>
      <c r="G131" s="64" t="s">
        <v>184</v>
      </c>
      <c r="H131" s="99">
        <f>+H130*0.086/1000</f>
        <v>3.2198399999999994E-3</v>
      </c>
      <c r="I131" s="66" t="s">
        <v>160</v>
      </c>
      <c r="J131" s="64"/>
      <c r="O131"/>
      <c r="P131"/>
      <c r="Q131" t="s">
        <v>411</v>
      </c>
      <c r="R131" s="274">
        <f>R129*R130</f>
        <v>44.318181818181813</v>
      </c>
      <c r="S131"/>
      <c r="T131"/>
      <c r="U131" t="s">
        <v>411</v>
      </c>
      <c r="V131" s="274">
        <f>V129*V130</f>
        <v>180</v>
      </c>
    </row>
    <row r="132" spans="1:22" s="42" customFormat="1" x14ac:dyDescent="0.25">
      <c r="A132" s="61" t="s">
        <v>161</v>
      </c>
      <c r="B132" s="73">
        <f>20000/(B125*B126*B127)</f>
        <v>9.615384615384615</v>
      </c>
      <c r="C132" s="61" t="s">
        <v>162</v>
      </c>
      <c r="D132" s="61" t="s">
        <v>543</v>
      </c>
      <c r="G132" s="61" t="s">
        <v>161</v>
      </c>
      <c r="H132" s="73">
        <f>20000/(H125*H126*H127)</f>
        <v>9.615384615384615</v>
      </c>
      <c r="I132" s="61" t="s">
        <v>162</v>
      </c>
      <c r="J132" s="61" t="s">
        <v>543</v>
      </c>
      <c r="O132"/>
      <c r="P132"/>
      <c r="Q132" t="s">
        <v>412</v>
      </c>
      <c r="R132" s="274">
        <v>4</v>
      </c>
      <c r="S132"/>
      <c r="T132"/>
      <c r="U132" s="275" t="s">
        <v>413</v>
      </c>
      <c r="V132" s="270" t="s">
        <v>414</v>
      </c>
    </row>
    <row r="133" spans="1:22" s="42" customFormat="1" x14ac:dyDescent="0.25">
      <c r="A133" s="43" t="s">
        <v>163</v>
      </c>
      <c r="B133" s="72">
        <v>7.4999999999999997E-2</v>
      </c>
      <c r="C133" s="43" t="s">
        <v>183</v>
      </c>
      <c r="D133" s="43"/>
      <c r="G133" s="43" t="s">
        <v>163</v>
      </c>
      <c r="H133" s="72">
        <v>7.4999999999999997E-2</v>
      </c>
      <c r="I133" s="43" t="s">
        <v>183</v>
      </c>
      <c r="J133" s="43"/>
      <c r="O133"/>
      <c r="P133"/>
      <c r="Q133"/>
      <c r="R133"/>
      <c r="S133"/>
      <c r="T133"/>
      <c r="U133"/>
      <c r="V133"/>
    </row>
    <row r="134" spans="1:22" s="42" customFormat="1" x14ac:dyDescent="0.25">
      <c r="A134" s="43" t="s">
        <v>164</v>
      </c>
      <c r="B134" s="97">
        <f>+PV(B133,B132,-B131,0,1)</f>
        <v>5.1393863818895444E-3</v>
      </c>
      <c r="C134" s="43" t="s">
        <v>165</v>
      </c>
      <c r="D134" s="43"/>
      <c r="E134" s="80">
        <f>+B134/0.086*1000</f>
        <v>59.760306766157498</v>
      </c>
      <c r="F134" t="s">
        <v>166</v>
      </c>
      <c r="G134" s="43" t="s">
        <v>164</v>
      </c>
      <c r="H134" s="97">
        <f>+PV(H133,H132,-H131,0,1)</f>
        <v>2.3127238718502946E-2</v>
      </c>
      <c r="I134" s="43" t="s">
        <v>165</v>
      </c>
      <c r="J134" s="43"/>
    </row>
    <row r="135" spans="1:22" s="42" customFormat="1" x14ac:dyDescent="0.25">
      <c r="A135" s="58" t="s">
        <v>325</v>
      </c>
      <c r="B135" s="46">
        <v>3</v>
      </c>
      <c r="C135" s="43"/>
      <c r="D135" s="43"/>
      <c r="G135" s="58" t="s">
        <v>325</v>
      </c>
      <c r="H135" s="46">
        <v>3</v>
      </c>
      <c r="I135" s="43"/>
      <c r="J135" s="43"/>
    </row>
    <row r="136" spans="1:22" s="42" customFormat="1" x14ac:dyDescent="0.25">
      <c r="A136" s="58" t="s">
        <v>170</v>
      </c>
      <c r="B136" s="286">
        <v>1</v>
      </c>
      <c r="C136" s="43"/>
      <c r="D136" s="43"/>
      <c r="G136" s="58" t="s">
        <v>170</v>
      </c>
      <c r="H136" s="286">
        <v>1</v>
      </c>
      <c r="I136" s="43"/>
      <c r="J136" s="43"/>
    </row>
    <row r="137" spans="1:22" s="42" customFormat="1" x14ac:dyDescent="0.25">
      <c r="A137" s="284" t="s">
        <v>171</v>
      </c>
      <c r="B137" s="97">
        <f>+B134*B135*B136</f>
        <v>1.5418159145668634E-2</v>
      </c>
      <c r="C137" s="43" t="s">
        <v>165</v>
      </c>
      <c r="D137" s="43"/>
      <c r="G137" s="284" t="s">
        <v>171</v>
      </c>
      <c r="H137" s="97">
        <f>+H134*H135*H136</f>
        <v>6.9381716155508838E-2</v>
      </c>
      <c r="I137" s="43" t="s">
        <v>165</v>
      </c>
      <c r="J137" s="43"/>
    </row>
    <row r="138" spans="1:22" s="42" customFormat="1" x14ac:dyDescent="0.25">
      <c r="A138" s="43" t="s">
        <v>140</v>
      </c>
      <c r="B138" s="60">
        <v>1000</v>
      </c>
      <c r="C138" s="43" t="s">
        <v>186</v>
      </c>
      <c r="D138" s="43"/>
      <c r="G138" s="43" t="s">
        <v>140</v>
      </c>
      <c r="H138" s="60">
        <v>1000</v>
      </c>
      <c r="I138" s="43" t="s">
        <v>186</v>
      </c>
      <c r="J138" s="43"/>
    </row>
    <row r="139" spans="1:22" s="55" customFormat="1" x14ac:dyDescent="0.25">
      <c r="A139" s="61" t="s">
        <v>322</v>
      </c>
      <c r="B139" s="62">
        <f>+B137*B138</f>
        <v>15.418159145668634</v>
      </c>
      <c r="C139" s="61" t="s">
        <v>130</v>
      </c>
      <c r="D139" s="81"/>
      <c r="E139" s="42"/>
      <c r="G139" s="61" t="s">
        <v>322</v>
      </c>
      <c r="H139" s="62">
        <f>+H137*H138</f>
        <v>69.38171615550884</v>
      </c>
      <c r="I139" s="61" t="s">
        <v>130</v>
      </c>
      <c r="J139" s="81"/>
    </row>
    <row r="140" spans="1:22" s="42" customFormat="1" x14ac:dyDescent="0.25">
      <c r="A140" s="144" t="s">
        <v>331</v>
      </c>
      <c r="B140" s="423">
        <v>6.4577055000000003</v>
      </c>
      <c r="C140" s="102" t="s">
        <v>330</v>
      </c>
      <c r="D140" s="231" t="s">
        <v>547</v>
      </c>
      <c r="G140" s="144" t="s">
        <v>331</v>
      </c>
      <c r="H140" s="423">
        <v>6.4577055000000003</v>
      </c>
      <c r="I140" s="102" t="s">
        <v>330</v>
      </c>
      <c r="J140" s="231" t="s">
        <v>547</v>
      </c>
    </row>
    <row r="141" spans="1:22" s="42" customFormat="1" ht="14.25" customHeight="1" x14ac:dyDescent="0.25">
      <c r="A141" s="144" t="s">
        <v>329</v>
      </c>
      <c r="B141" s="230">
        <f>+B130*B140</f>
        <v>53.728109760000002</v>
      </c>
      <c r="C141" s="144" t="s">
        <v>332</v>
      </c>
      <c r="G141" s="144" t="s">
        <v>329</v>
      </c>
      <c r="H141" s="230">
        <f>+H130*H140</f>
        <v>241.77649392000001</v>
      </c>
      <c r="I141" s="144" t="s">
        <v>332</v>
      </c>
    </row>
    <row r="142" spans="1:22" s="47" customFormat="1" ht="18" customHeight="1" x14ac:dyDescent="0.25">
      <c r="A142" s="56" t="s">
        <v>168</v>
      </c>
      <c r="B142" s="233">
        <f>B122/(-PV(10%,B132,B141,0,0))</f>
        <v>0.27915493945508435</v>
      </c>
      <c r="C142" s="45"/>
      <c r="D142" s="45"/>
      <c r="E142" s="42"/>
      <c r="F142" s="57"/>
      <c r="G142" s="56" t="s">
        <v>168</v>
      </c>
      <c r="H142" s="233">
        <f>H122/(-PV(10%,H132,H141,0,0))</f>
        <v>0.13785429108893058</v>
      </c>
      <c r="I142" s="45"/>
      <c r="J142" s="45"/>
    </row>
    <row r="143" spans="1:22" s="42" customFormat="1" x14ac:dyDescent="0.25">
      <c r="A143" s="61" t="s">
        <v>324</v>
      </c>
      <c r="B143" s="238">
        <f>+B139/B122</f>
        <v>0.17131287939631815</v>
      </c>
      <c r="C143" s="43"/>
      <c r="D143" s="43"/>
      <c r="E143"/>
      <c r="F143" s="55"/>
      <c r="G143" s="61" t="s">
        <v>324</v>
      </c>
      <c r="H143" s="238">
        <f>+H139/H122</f>
        <v>0.34690858077754422</v>
      </c>
      <c r="I143" s="43"/>
      <c r="J143" s="43"/>
    </row>
    <row r="144" spans="1:22" s="42" customFormat="1" x14ac:dyDescent="0.25">
      <c r="A144"/>
      <c r="B144"/>
      <c r="C144"/>
      <c r="D144"/>
      <c r="E144"/>
      <c r="F144" s="55"/>
    </row>
    <row r="145" spans="1:9" ht="15.75" x14ac:dyDescent="0.25">
      <c r="A145" s="236" t="s">
        <v>422</v>
      </c>
      <c r="B145" s="237"/>
      <c r="C145" s="237"/>
      <c r="D145" s="237"/>
    </row>
    <row r="146" spans="1:9" x14ac:dyDescent="0.25">
      <c r="A146" s="41" t="s">
        <v>154</v>
      </c>
      <c r="B146" s="41" t="s">
        <v>10</v>
      </c>
      <c r="C146" s="41" t="s">
        <v>86</v>
      </c>
      <c r="D146" s="41" t="s">
        <v>155</v>
      </c>
    </row>
    <row r="147" spans="1:9" s="42" customFormat="1" x14ac:dyDescent="0.25">
      <c r="A147" s="43" t="s">
        <v>193</v>
      </c>
      <c r="B147" s="75">
        <v>1</v>
      </c>
      <c r="C147" s="68"/>
      <c r="D147" s="69"/>
    </row>
    <row r="148" spans="1:9" s="42" customFormat="1" x14ac:dyDescent="0.25">
      <c r="A148" s="43" t="s">
        <v>242</v>
      </c>
      <c r="B148" s="260">
        <v>88</v>
      </c>
      <c r="C148" s="43" t="s">
        <v>237</v>
      </c>
      <c r="D148" s="93"/>
      <c r="F148"/>
      <c r="H148" s="95">
        <v>137845</v>
      </c>
      <c r="I148" s="42" t="s">
        <v>236</v>
      </c>
    </row>
    <row r="149" spans="1:9" s="42" customFormat="1" x14ac:dyDescent="0.25">
      <c r="A149" s="64" t="s">
        <v>361</v>
      </c>
      <c r="B149" s="76">
        <f>37990*43</f>
        <v>1633570</v>
      </c>
      <c r="C149" s="66" t="s">
        <v>359</v>
      </c>
      <c r="D149" s="64" t="s">
        <v>364</v>
      </c>
      <c r="F149"/>
      <c r="H149" s="95"/>
    </row>
    <row r="150" spans="1:9" s="42" customFormat="1" x14ac:dyDescent="0.25">
      <c r="A150" s="64" t="s">
        <v>362</v>
      </c>
      <c r="B150" s="76">
        <f>17990*43</f>
        <v>773570</v>
      </c>
      <c r="C150" s="66" t="s">
        <v>359</v>
      </c>
      <c r="D150" s="64" t="s">
        <v>363</v>
      </c>
      <c r="F150"/>
      <c r="H150" s="95"/>
    </row>
    <row r="151" spans="1:9" s="55" customFormat="1" ht="32.25" customHeight="1" x14ac:dyDescent="0.25">
      <c r="A151" s="61" t="s">
        <v>229</v>
      </c>
      <c r="B151" s="92">
        <f>1/E151</f>
        <v>8.6206896551724144E-2</v>
      </c>
      <c r="C151" s="61" t="s">
        <v>230</v>
      </c>
      <c r="D151" s="258" t="s">
        <v>366</v>
      </c>
      <c r="E151" s="331">
        <v>11.6</v>
      </c>
      <c r="F151" t="s">
        <v>238</v>
      </c>
      <c r="G151" s="96"/>
      <c r="H151" s="80">
        <f>+H148/365</f>
        <v>377.65753424657532</v>
      </c>
      <c r="I151" s="102" t="s">
        <v>237</v>
      </c>
    </row>
    <row r="152" spans="1:9" s="55" customFormat="1" x14ac:dyDescent="0.25">
      <c r="A152" s="61" t="s">
        <v>232</v>
      </c>
      <c r="B152" s="92">
        <f>1/E152</f>
        <v>0.18867924528301888</v>
      </c>
      <c r="C152" s="61" t="s">
        <v>231</v>
      </c>
      <c r="D152" s="258" t="s">
        <v>367</v>
      </c>
      <c r="E152" s="102">
        <v>5.3</v>
      </c>
      <c r="F152" s="259" t="s">
        <v>365</v>
      </c>
    </row>
    <row r="153" spans="1:9" s="55" customFormat="1" x14ac:dyDescent="0.25">
      <c r="A153" s="61" t="s">
        <v>247</v>
      </c>
      <c r="B153" s="91">
        <v>365</v>
      </c>
      <c r="C153" s="61" t="s">
        <v>246</v>
      </c>
      <c r="D153" s="93"/>
      <c r="F153" s="54"/>
    </row>
    <row r="154" spans="1:9" s="42" customFormat="1" x14ac:dyDescent="0.25">
      <c r="A154" s="43" t="s">
        <v>233</v>
      </c>
      <c r="B154" s="70">
        <f>+B148*B153*B151</f>
        <v>2768.9655172413795</v>
      </c>
      <c r="C154" s="43" t="s">
        <v>235</v>
      </c>
      <c r="D154" s="43"/>
      <c r="E154" s="145">
        <f>+B154*MMEE!AA44/0.086*1000</f>
        <v>25265.200481154774</v>
      </c>
      <c r="F154" t="s">
        <v>158</v>
      </c>
      <c r="G154" s="146">
        <f>+E154*0.086/1000</f>
        <v>2.17280724137931</v>
      </c>
      <c r="H154" s="42" t="s">
        <v>160</v>
      </c>
    </row>
    <row r="155" spans="1:9" s="42" customFormat="1" x14ac:dyDescent="0.25">
      <c r="A155" s="43" t="s">
        <v>234</v>
      </c>
      <c r="B155" s="70">
        <f>+B148*B152*B153</f>
        <v>6060.3773584905657</v>
      </c>
      <c r="C155" s="43" t="s">
        <v>158</v>
      </c>
      <c r="D155" s="43"/>
      <c r="E155" s="305">
        <f>+E154/B155</f>
        <v>4.1689153969526869</v>
      </c>
      <c r="F155" t="s">
        <v>437</v>
      </c>
    </row>
    <row r="156" spans="1:9" x14ac:dyDescent="0.25">
      <c r="A156" s="64" t="s">
        <v>184</v>
      </c>
      <c r="B156" s="94">
        <f>+B154*MMEE!$AA$44-B155*0.086/1000</f>
        <v>1.6516147885491219</v>
      </c>
      <c r="C156" s="66" t="s">
        <v>160</v>
      </c>
      <c r="D156" s="64"/>
    </row>
    <row r="157" spans="1:9" x14ac:dyDescent="0.25">
      <c r="A157" s="61" t="s">
        <v>161</v>
      </c>
      <c r="B157" s="278">
        <v>12</v>
      </c>
      <c r="C157" s="61" t="s">
        <v>162</v>
      </c>
      <c r="D157" s="61" t="s">
        <v>541</v>
      </c>
    </row>
    <row r="158" spans="1:9" x14ac:dyDescent="0.25">
      <c r="A158" s="43" t="s">
        <v>163</v>
      </c>
      <c r="B158" s="72">
        <v>7.4999999999999997E-2</v>
      </c>
      <c r="C158" s="43" t="s">
        <v>183</v>
      </c>
      <c r="D158" s="43"/>
    </row>
    <row r="159" spans="1:9" x14ac:dyDescent="0.25">
      <c r="A159" s="43" t="s">
        <v>164</v>
      </c>
      <c r="B159" s="254">
        <f>+PV(B158,B157,-B156,0,1)</f>
        <v>13.73387749110249</v>
      </c>
      <c r="C159" s="43" t="s">
        <v>165</v>
      </c>
      <c r="D159" s="43"/>
      <c r="E159" s="80">
        <f>+B159/0.086*1000</f>
        <v>159696.2498965406</v>
      </c>
      <c r="F159" t="s">
        <v>166</v>
      </c>
    </row>
    <row r="160" spans="1:9" x14ac:dyDescent="0.25">
      <c r="A160" s="284" t="s">
        <v>325</v>
      </c>
      <c r="B160" s="289">
        <v>3</v>
      </c>
      <c r="C160" s="61"/>
      <c r="D160" s="61"/>
    </row>
    <row r="161" spans="1:4" x14ac:dyDescent="0.25">
      <c r="A161" s="58" t="s">
        <v>370</v>
      </c>
      <c r="B161" s="46">
        <v>3</v>
      </c>
      <c r="C161" s="43"/>
      <c r="D161" s="43"/>
    </row>
    <row r="162" spans="1:4" s="42" customFormat="1" x14ac:dyDescent="0.25">
      <c r="A162" s="58" t="s">
        <v>170</v>
      </c>
      <c r="B162" s="286">
        <v>1</v>
      </c>
      <c r="C162" s="43"/>
      <c r="D162" s="43"/>
    </row>
    <row r="163" spans="1:4" x14ac:dyDescent="0.25">
      <c r="A163" s="61" t="s">
        <v>371</v>
      </c>
      <c r="B163" s="260">
        <v>5</v>
      </c>
      <c r="C163" s="43"/>
      <c r="D163" s="43"/>
    </row>
    <row r="164" spans="1:4" x14ac:dyDescent="0.25">
      <c r="A164" s="284" t="s">
        <v>171</v>
      </c>
      <c r="B164" s="97">
        <f>+B159*(IF(B160*B161*B162&gt;5,5,B160*B161*B162))</f>
        <v>68.669387455512449</v>
      </c>
      <c r="C164" s="43" t="s">
        <v>165</v>
      </c>
      <c r="D164" s="285"/>
    </row>
    <row r="165" spans="1:4" x14ac:dyDescent="0.25">
      <c r="A165" s="43" t="s">
        <v>140</v>
      </c>
      <c r="B165" s="60">
        <v>1000</v>
      </c>
      <c r="C165" s="43" t="s">
        <v>186</v>
      </c>
      <c r="D165" s="43"/>
    </row>
    <row r="166" spans="1:4" x14ac:dyDescent="0.25">
      <c r="A166" s="43" t="s">
        <v>322</v>
      </c>
      <c r="B166" s="62">
        <f>+B164*B165</f>
        <v>68669.387455512449</v>
      </c>
      <c r="C166" s="61" t="s">
        <v>130</v>
      </c>
      <c r="D166" s="81"/>
    </row>
    <row r="167" spans="1:4" x14ac:dyDescent="0.25">
      <c r="A167" s="144" t="s">
        <v>368</v>
      </c>
      <c r="B167" s="640">
        <v>70.81</v>
      </c>
      <c r="C167" s="84" t="s">
        <v>369</v>
      </c>
      <c r="D167" s="641" t="s">
        <v>548</v>
      </c>
    </row>
    <row r="168" spans="1:4" x14ac:dyDescent="0.25">
      <c r="A168" s="144" t="s">
        <v>331</v>
      </c>
      <c r="B168" s="424">
        <v>2.0939999999999999</v>
      </c>
      <c r="C168" s="63" t="s">
        <v>330</v>
      </c>
      <c r="D168" s="231" t="s">
        <v>372</v>
      </c>
    </row>
    <row r="169" spans="1:4" x14ac:dyDescent="0.25">
      <c r="A169" s="144" t="s">
        <v>329</v>
      </c>
      <c r="B169" s="230">
        <f>+B154*B167-B155*B168</f>
        <v>183380.01808718283</v>
      </c>
      <c r="C169" s="144" t="s">
        <v>332</v>
      </c>
      <c r="D169" s="64"/>
    </row>
    <row r="170" spans="1:4" x14ac:dyDescent="0.25">
      <c r="A170" s="56" t="s">
        <v>168</v>
      </c>
      <c r="B170" s="233">
        <f>(B149-B150)/(-PV(10%,B157,B169,0,0))</f>
        <v>0.68827810304959725</v>
      </c>
      <c r="C170" s="45"/>
      <c r="D170" s="45"/>
    </row>
    <row r="171" spans="1:4" x14ac:dyDescent="0.25">
      <c r="A171" s="61" t="s">
        <v>324</v>
      </c>
      <c r="B171" s="238">
        <f>+B166/B149</f>
        <v>4.2036391128333926E-2</v>
      </c>
      <c r="C171" s="43"/>
      <c r="D171" s="43"/>
    </row>
    <row r="173" spans="1:4" ht="15.75" x14ac:dyDescent="0.25">
      <c r="A173" s="236" t="s">
        <v>421</v>
      </c>
      <c r="B173" s="237"/>
      <c r="C173" s="237"/>
      <c r="D173" s="237"/>
    </row>
    <row r="174" spans="1:4" x14ac:dyDescent="0.25">
      <c r="A174" s="41" t="s">
        <v>154</v>
      </c>
      <c r="B174" s="41" t="s">
        <v>10</v>
      </c>
      <c r="C174" s="41" t="s">
        <v>86</v>
      </c>
      <c r="D174" s="41" t="s">
        <v>155</v>
      </c>
    </row>
    <row r="175" spans="1:4" x14ac:dyDescent="0.25">
      <c r="A175" s="43" t="s">
        <v>193</v>
      </c>
      <c r="B175" s="75">
        <v>1</v>
      </c>
      <c r="C175" s="68"/>
      <c r="D175" s="69"/>
    </row>
    <row r="176" spans="1:4" x14ac:dyDescent="0.25">
      <c r="A176" s="43" t="s">
        <v>242</v>
      </c>
      <c r="B176" s="260">
        <v>88</v>
      </c>
      <c r="C176" s="43" t="s">
        <v>237</v>
      </c>
      <c r="D176" s="93"/>
    </row>
    <row r="177" spans="1:4" x14ac:dyDescent="0.25">
      <c r="A177" s="64" t="s">
        <v>361</v>
      </c>
      <c r="B177" s="283">
        <f>3990*43</f>
        <v>171570</v>
      </c>
      <c r="C177" s="66" t="s">
        <v>359</v>
      </c>
      <c r="D177" s="282" t="s">
        <v>419</v>
      </c>
    </row>
    <row r="178" spans="1:4" ht="60" x14ac:dyDescent="0.25">
      <c r="A178" s="61" t="s">
        <v>229</v>
      </c>
      <c r="B178" s="281">
        <f>1/(23.7)</f>
        <v>4.2194092827004218E-2</v>
      </c>
      <c r="C178" s="61" t="s">
        <v>230</v>
      </c>
      <c r="D178" s="282" t="s">
        <v>418</v>
      </c>
    </row>
    <row r="179" spans="1:4" x14ac:dyDescent="0.25">
      <c r="A179" s="61" t="s">
        <v>232</v>
      </c>
      <c r="B179" s="281">
        <v>3.4000000000000002E-2</v>
      </c>
      <c r="C179" s="61" t="s">
        <v>231</v>
      </c>
      <c r="D179" s="280" t="s">
        <v>417</v>
      </c>
    </row>
    <row r="180" spans="1:4" x14ac:dyDescent="0.25">
      <c r="A180" s="61" t="s">
        <v>247</v>
      </c>
      <c r="B180" s="91">
        <v>365</v>
      </c>
      <c r="C180" s="61" t="s">
        <v>246</v>
      </c>
      <c r="D180" s="93"/>
    </row>
    <row r="181" spans="1:4" x14ac:dyDescent="0.25">
      <c r="A181" s="43" t="s">
        <v>233</v>
      </c>
      <c r="B181" s="70">
        <f>+B176*B180*B178</f>
        <v>1355.2742616033754</v>
      </c>
      <c r="C181" s="43" t="s">
        <v>235</v>
      </c>
      <c r="D181" s="43"/>
    </row>
    <row r="182" spans="1:4" x14ac:dyDescent="0.25">
      <c r="A182" s="43" t="s">
        <v>234</v>
      </c>
      <c r="B182" s="70">
        <f>+B176*B179*B180</f>
        <v>1092.08</v>
      </c>
      <c r="C182" s="43" t="s">
        <v>158</v>
      </c>
      <c r="D182" s="43"/>
    </row>
    <row r="183" spans="1:4" x14ac:dyDescent="0.25">
      <c r="A183" s="64" t="s">
        <v>184</v>
      </c>
      <c r="B183" s="94">
        <f>+B181*MMEE!$AA$44-B182*0.086/1000</f>
        <v>0.96956483308016872</v>
      </c>
      <c r="C183" s="66" t="s">
        <v>160</v>
      </c>
      <c r="D183" s="64"/>
    </row>
    <row r="184" spans="1:4" x14ac:dyDescent="0.25">
      <c r="A184" s="61" t="s">
        <v>161</v>
      </c>
      <c r="B184" s="278">
        <v>7</v>
      </c>
      <c r="C184" s="61" t="s">
        <v>162</v>
      </c>
      <c r="D184" s="61" t="s">
        <v>541</v>
      </c>
    </row>
    <row r="185" spans="1:4" x14ac:dyDescent="0.25">
      <c r="A185" s="43" t="s">
        <v>163</v>
      </c>
      <c r="B185" s="72">
        <v>7.4999999999999997E-2</v>
      </c>
      <c r="C185" s="43" t="s">
        <v>183</v>
      </c>
      <c r="D185" s="43"/>
    </row>
    <row r="186" spans="1:4" x14ac:dyDescent="0.25">
      <c r="A186" s="43" t="s">
        <v>164</v>
      </c>
      <c r="B186" s="254">
        <f>+PV(B185,B184,-B183,0,1)</f>
        <v>5.5205532542409799</v>
      </c>
      <c r="C186" s="43" t="s">
        <v>165</v>
      </c>
      <c r="D186" s="43"/>
    </row>
    <row r="187" spans="1:4" x14ac:dyDescent="0.25">
      <c r="A187" s="58" t="s">
        <v>325</v>
      </c>
      <c r="B187" s="46">
        <v>3</v>
      </c>
      <c r="C187" s="43"/>
      <c r="D187" s="43"/>
    </row>
    <row r="188" spans="1:4" x14ac:dyDescent="0.25">
      <c r="A188" s="58" t="s">
        <v>370</v>
      </c>
      <c r="B188" s="46">
        <v>3</v>
      </c>
      <c r="C188" s="43"/>
      <c r="D188" s="43"/>
    </row>
    <row r="189" spans="1:4" x14ac:dyDescent="0.25">
      <c r="A189" s="58" t="s">
        <v>170</v>
      </c>
      <c r="B189" s="286">
        <v>1</v>
      </c>
      <c r="C189" s="43"/>
      <c r="D189" s="43"/>
    </row>
    <row r="190" spans="1:4" x14ac:dyDescent="0.25">
      <c r="A190" s="43" t="s">
        <v>371</v>
      </c>
      <c r="B190" s="60">
        <v>7</v>
      </c>
      <c r="C190" s="43"/>
      <c r="D190" s="43"/>
    </row>
    <row r="191" spans="1:4" x14ac:dyDescent="0.25">
      <c r="A191" s="284" t="s">
        <v>171</v>
      </c>
      <c r="B191" s="97">
        <f>+B186*(IF(B187*B188*B189&gt;7,7,B187*B188*B189))</f>
        <v>38.643872779686859</v>
      </c>
      <c r="C191" s="43" t="s">
        <v>165</v>
      </c>
      <c r="D191" s="285"/>
    </row>
    <row r="192" spans="1:4" x14ac:dyDescent="0.25">
      <c r="A192" s="43" t="s">
        <v>140</v>
      </c>
      <c r="B192" s="60">
        <v>1000</v>
      </c>
      <c r="C192" s="43" t="s">
        <v>186</v>
      </c>
      <c r="D192" s="43"/>
    </row>
    <row r="193" spans="1:4" x14ac:dyDescent="0.25">
      <c r="A193" s="43" t="s">
        <v>322</v>
      </c>
      <c r="B193" s="62">
        <f>+B191*B192</f>
        <v>38643.872779686862</v>
      </c>
      <c r="C193" s="61" t="s">
        <v>130</v>
      </c>
      <c r="D193" s="81"/>
    </row>
    <row r="194" spans="1:4" x14ac:dyDescent="0.25">
      <c r="A194" s="144" t="s">
        <v>368</v>
      </c>
      <c r="B194" s="640">
        <v>70.81</v>
      </c>
      <c r="C194" s="84" t="s">
        <v>369</v>
      </c>
      <c r="D194" s="641" t="s">
        <v>548</v>
      </c>
    </row>
    <row r="195" spans="1:4" x14ac:dyDescent="0.25">
      <c r="A195" s="144" t="s">
        <v>331</v>
      </c>
      <c r="B195" s="424">
        <v>2.0939999999999999</v>
      </c>
      <c r="C195" s="63" t="s">
        <v>330</v>
      </c>
      <c r="D195" s="231" t="s">
        <v>372</v>
      </c>
    </row>
    <row r="196" spans="1:4" x14ac:dyDescent="0.25">
      <c r="A196" s="144" t="s">
        <v>329</v>
      </c>
      <c r="B196" s="230">
        <f>+B181*B194-B182*B195</f>
        <v>93680.154944135007</v>
      </c>
      <c r="C196" s="144" t="s">
        <v>332</v>
      </c>
      <c r="D196" s="64"/>
    </row>
    <row r="197" spans="1:4" x14ac:dyDescent="0.25">
      <c r="A197" s="56" t="s">
        <v>168</v>
      </c>
      <c r="B197" s="279">
        <f>B177/(-PV(10%,B184,B196,0,0))</f>
        <v>0.37618876276034091</v>
      </c>
      <c r="C197" s="45"/>
      <c r="D197" s="45"/>
    </row>
    <row r="198" spans="1:4" x14ac:dyDescent="0.25">
      <c r="A198" s="61" t="s">
        <v>324</v>
      </c>
      <c r="B198" s="238">
        <f>+B193/B177</f>
        <v>0.22523677087886496</v>
      </c>
      <c r="C198" s="43"/>
      <c r="D198" s="43"/>
    </row>
    <row r="200" spans="1:4" ht="15.75" x14ac:dyDescent="0.25">
      <c r="A200" s="236" t="s">
        <v>431</v>
      </c>
      <c r="B200" s="237"/>
      <c r="C200" s="237"/>
      <c r="D200" s="237"/>
    </row>
    <row r="201" spans="1:4" x14ac:dyDescent="0.25">
      <c r="A201" s="41" t="s">
        <v>154</v>
      </c>
      <c r="B201" s="41" t="s">
        <v>10</v>
      </c>
      <c r="C201" s="41" t="s">
        <v>86</v>
      </c>
      <c r="D201" s="41" t="s">
        <v>155</v>
      </c>
    </row>
    <row r="202" spans="1:4" x14ac:dyDescent="0.25">
      <c r="A202" s="64" t="s">
        <v>193</v>
      </c>
      <c r="B202" s="75">
        <v>1</v>
      </c>
      <c r="C202" s="294"/>
      <c r="D202" s="66"/>
    </row>
    <row r="203" spans="1:4" x14ac:dyDescent="0.25">
      <c r="A203" s="64" t="s">
        <v>242</v>
      </c>
      <c r="B203" s="260">
        <v>80</v>
      </c>
      <c r="C203" s="64" t="s">
        <v>237</v>
      </c>
      <c r="D203" s="300" t="s">
        <v>432</v>
      </c>
    </row>
    <row r="204" spans="1:4" ht="30" x14ac:dyDescent="0.25">
      <c r="A204" s="64" t="s">
        <v>361</v>
      </c>
      <c r="B204" s="283">
        <f>3220*43.85</f>
        <v>141197</v>
      </c>
      <c r="C204" s="66" t="s">
        <v>359</v>
      </c>
      <c r="D204" s="282" t="s">
        <v>433</v>
      </c>
    </row>
    <row r="205" spans="1:4" ht="60" x14ac:dyDescent="0.25">
      <c r="A205" s="84" t="s">
        <v>229</v>
      </c>
      <c r="B205" s="281">
        <f>1/(23.7)</f>
        <v>4.2194092827004218E-2</v>
      </c>
      <c r="C205" s="84" t="s">
        <v>230</v>
      </c>
      <c r="D205" s="282" t="s">
        <v>418</v>
      </c>
    </row>
    <row r="206" spans="1:4" x14ac:dyDescent="0.25">
      <c r="A206" s="84" t="s">
        <v>232</v>
      </c>
      <c r="B206" s="281">
        <v>2.5999999999999999E-2</v>
      </c>
      <c r="C206" s="84" t="s">
        <v>231</v>
      </c>
      <c r="D206" s="280" t="s">
        <v>434</v>
      </c>
    </row>
    <row r="207" spans="1:4" x14ac:dyDescent="0.25">
      <c r="A207" s="84" t="s">
        <v>247</v>
      </c>
      <c r="B207" s="91">
        <v>365</v>
      </c>
      <c r="C207" s="84" t="s">
        <v>246</v>
      </c>
      <c r="D207" s="295"/>
    </row>
    <row r="208" spans="1:4" x14ac:dyDescent="0.25">
      <c r="A208" s="64" t="s">
        <v>233</v>
      </c>
      <c r="B208" s="70">
        <f>+B203*B207*B205</f>
        <v>1232.0675105485232</v>
      </c>
      <c r="C208" s="64" t="s">
        <v>235</v>
      </c>
      <c r="D208" s="64"/>
    </row>
    <row r="209" spans="1:4" x14ac:dyDescent="0.25">
      <c r="A209" s="64" t="s">
        <v>234</v>
      </c>
      <c r="B209" s="70">
        <f>+B203*B206*B207</f>
        <v>759.2</v>
      </c>
      <c r="C209" s="64" t="s">
        <v>158</v>
      </c>
      <c r="D209" s="64"/>
    </row>
    <row r="210" spans="1:4" x14ac:dyDescent="0.25">
      <c r="A210" s="64" t="s">
        <v>184</v>
      </c>
      <c r="B210" s="94">
        <f>+B208*MMEE!$AA$44-B209*0.086/1000</f>
        <v>0.90151217552742624</v>
      </c>
      <c r="C210" s="66" t="s">
        <v>160</v>
      </c>
      <c r="D210" s="64"/>
    </row>
    <row r="211" spans="1:4" x14ac:dyDescent="0.25">
      <c r="A211" s="64" t="s">
        <v>161</v>
      </c>
      <c r="B211" s="278">
        <v>7</v>
      </c>
      <c r="C211" s="64" t="s">
        <v>162</v>
      </c>
      <c r="D211" s="84" t="s">
        <v>541</v>
      </c>
    </row>
    <row r="212" spans="1:4" x14ac:dyDescent="0.25">
      <c r="A212" s="64" t="s">
        <v>163</v>
      </c>
      <c r="B212" s="72">
        <v>7.4999999999999997E-2</v>
      </c>
      <c r="C212" s="64" t="s">
        <v>183</v>
      </c>
      <c r="D212" s="64"/>
    </row>
    <row r="213" spans="1:4" x14ac:dyDescent="0.25">
      <c r="A213" s="64" t="s">
        <v>164</v>
      </c>
      <c r="B213" s="254">
        <f>+PV(B212,B211,-B210,0,1)</f>
        <v>5.1330718736312564</v>
      </c>
      <c r="C213" s="64" t="s">
        <v>165</v>
      </c>
      <c r="D213" s="64"/>
    </row>
    <row r="214" spans="1:4" x14ac:dyDescent="0.25">
      <c r="A214" s="296" t="s">
        <v>325</v>
      </c>
      <c r="B214" s="46">
        <v>3</v>
      </c>
      <c r="C214" s="64"/>
      <c r="D214" s="64"/>
    </row>
    <row r="215" spans="1:4" x14ac:dyDescent="0.25">
      <c r="A215" s="296" t="s">
        <v>370</v>
      </c>
      <c r="B215" s="46">
        <v>3</v>
      </c>
      <c r="C215" s="64"/>
      <c r="D215" s="64"/>
    </row>
    <row r="216" spans="1:4" x14ac:dyDescent="0.25">
      <c r="A216" s="296" t="s">
        <v>170</v>
      </c>
      <c r="B216" s="286">
        <v>1</v>
      </c>
      <c r="C216" s="64"/>
      <c r="D216" s="64"/>
    </row>
    <row r="217" spans="1:4" x14ac:dyDescent="0.25">
      <c r="A217" s="64" t="s">
        <v>371</v>
      </c>
      <c r="B217" s="60">
        <v>5</v>
      </c>
      <c r="C217" s="64"/>
      <c r="D217" s="64"/>
    </row>
    <row r="218" spans="1:4" x14ac:dyDescent="0.25">
      <c r="A218" s="297" t="s">
        <v>171</v>
      </c>
      <c r="B218" s="97">
        <f>+B213*(IF(B214*B215*B216&gt;5,5,B214*B215*B216))</f>
        <v>25.665359368156281</v>
      </c>
      <c r="C218" s="64" t="s">
        <v>165</v>
      </c>
      <c r="D218" s="298"/>
    </row>
    <row r="219" spans="1:4" x14ac:dyDescent="0.25">
      <c r="A219" s="64" t="s">
        <v>140</v>
      </c>
      <c r="B219" s="60">
        <v>1000</v>
      </c>
      <c r="C219" s="64" t="s">
        <v>186</v>
      </c>
      <c r="D219" s="64"/>
    </row>
    <row r="220" spans="1:4" x14ac:dyDescent="0.25">
      <c r="A220" s="64" t="s">
        <v>322</v>
      </c>
      <c r="B220" s="62">
        <f>+B218*B219</f>
        <v>25665.359368156282</v>
      </c>
      <c r="C220" s="84" t="s">
        <v>130</v>
      </c>
      <c r="D220" s="81"/>
    </row>
    <row r="221" spans="1:4" x14ac:dyDescent="0.25">
      <c r="A221" s="64" t="s">
        <v>368</v>
      </c>
      <c r="B221" s="640">
        <v>70.81</v>
      </c>
      <c r="C221" s="84" t="s">
        <v>369</v>
      </c>
      <c r="D221" s="641" t="s">
        <v>548</v>
      </c>
    </row>
    <row r="222" spans="1:4" x14ac:dyDescent="0.25">
      <c r="A222" s="64" t="s">
        <v>331</v>
      </c>
      <c r="B222" s="424">
        <v>2.0939999999999999</v>
      </c>
      <c r="C222" s="63" t="s">
        <v>330</v>
      </c>
      <c r="D222" s="231" t="s">
        <v>372</v>
      </c>
    </row>
    <row r="223" spans="1:4" x14ac:dyDescent="0.25">
      <c r="A223" s="64" t="s">
        <v>329</v>
      </c>
      <c r="B223" s="230">
        <f>+B208*B221-B209*B222</f>
        <v>85652.935621940924</v>
      </c>
      <c r="C223" s="64" t="s">
        <v>332</v>
      </c>
      <c r="D223" s="64"/>
    </row>
    <row r="224" spans="1:4" x14ac:dyDescent="0.25">
      <c r="A224" s="299" t="s">
        <v>168</v>
      </c>
      <c r="B224" s="279">
        <f>B204/(-PV(10%,B211,B223,0,0))</f>
        <v>0.33860649527808656</v>
      </c>
      <c r="C224" s="280"/>
      <c r="D224" s="280"/>
    </row>
    <row r="225" spans="1:9" x14ac:dyDescent="0.25">
      <c r="A225" s="84" t="s">
        <v>324</v>
      </c>
      <c r="B225" s="238">
        <f>+B220/B204</f>
        <v>0.1817698631568396</v>
      </c>
      <c r="C225" s="64"/>
      <c r="D225" s="64"/>
    </row>
    <row r="227" spans="1:9" ht="15.75" x14ac:dyDescent="0.25">
      <c r="A227" s="236" t="s">
        <v>443</v>
      </c>
      <c r="B227" s="237"/>
      <c r="C227" s="237"/>
      <c r="D227" s="237"/>
    </row>
    <row r="228" spans="1:9" x14ac:dyDescent="0.25">
      <c r="A228" s="41" t="s">
        <v>154</v>
      </c>
      <c r="B228" s="41" t="s">
        <v>10</v>
      </c>
      <c r="C228" s="41" t="s">
        <v>86</v>
      </c>
      <c r="D228" s="41" t="s">
        <v>155</v>
      </c>
    </row>
    <row r="229" spans="1:9" x14ac:dyDescent="0.25">
      <c r="A229" s="64" t="s">
        <v>193</v>
      </c>
      <c r="B229" s="75">
        <v>1</v>
      </c>
      <c r="C229" s="294"/>
      <c r="D229" s="66"/>
      <c r="E229" s="42"/>
      <c r="F229" s="42"/>
      <c r="G229" s="42"/>
      <c r="H229" s="42"/>
      <c r="I229" s="42"/>
    </row>
    <row r="230" spans="1:9" x14ac:dyDescent="0.25">
      <c r="A230" s="64" t="s">
        <v>242</v>
      </c>
      <c r="B230" s="260">
        <v>88</v>
      </c>
      <c r="C230" s="64" t="s">
        <v>237</v>
      </c>
      <c r="D230" s="295"/>
      <c r="E230" s="42"/>
      <c r="G230" s="42"/>
      <c r="H230" s="95">
        <v>137845</v>
      </c>
      <c r="I230" s="42" t="s">
        <v>236</v>
      </c>
    </row>
    <row r="231" spans="1:9" x14ac:dyDescent="0.25">
      <c r="A231" s="64" t="s">
        <v>361</v>
      </c>
      <c r="B231" s="76">
        <f>43900*43</f>
        <v>1887700</v>
      </c>
      <c r="C231" s="66" t="s">
        <v>359</v>
      </c>
      <c r="D231" s="286" t="s">
        <v>444</v>
      </c>
      <c r="E231" s="42"/>
      <c r="G231" s="42"/>
      <c r="H231" s="95"/>
      <c r="I231" s="42"/>
    </row>
    <row r="232" spans="1:9" x14ac:dyDescent="0.25">
      <c r="A232" s="64" t="s">
        <v>362</v>
      </c>
      <c r="B232" s="76">
        <f>17990*43</f>
        <v>773570</v>
      </c>
      <c r="C232" s="66" t="s">
        <v>359</v>
      </c>
      <c r="D232" s="64" t="s">
        <v>363</v>
      </c>
      <c r="E232" s="42"/>
      <c r="G232" s="42"/>
      <c r="H232" s="95"/>
      <c r="I232" s="42"/>
    </row>
    <row r="233" spans="1:9" x14ac:dyDescent="0.25">
      <c r="A233" s="84" t="s">
        <v>229</v>
      </c>
      <c r="B233" s="301">
        <f>1/E233</f>
        <v>8.6206896551724144E-2</v>
      </c>
      <c r="C233" s="84" t="s">
        <v>230</v>
      </c>
      <c r="D233" s="300" t="s">
        <v>366</v>
      </c>
      <c r="E233" s="331">
        <v>11.6</v>
      </c>
      <c r="F233" t="s">
        <v>238</v>
      </c>
      <c r="G233" s="96"/>
      <c r="H233" s="80">
        <f>+H230/365</f>
        <v>377.65753424657532</v>
      </c>
      <c r="I233" s="42" t="s">
        <v>237</v>
      </c>
    </row>
    <row r="234" spans="1:9" x14ac:dyDescent="0.25">
      <c r="A234" s="84" t="s">
        <v>232</v>
      </c>
      <c r="B234" s="301">
        <v>0.22</v>
      </c>
      <c r="C234" s="84" t="s">
        <v>231</v>
      </c>
      <c r="D234" s="300" t="s">
        <v>445</v>
      </c>
      <c r="E234" s="42">
        <v>5.4</v>
      </c>
      <c r="F234" t="s">
        <v>365</v>
      </c>
      <c r="G234" s="55">
        <f>1/10</f>
        <v>0.1</v>
      </c>
      <c r="H234" s="55">
        <f>1/12.5</f>
        <v>0.08</v>
      </c>
      <c r="I234" s="55"/>
    </row>
    <row r="235" spans="1:9" s="54" customFormat="1" x14ac:dyDescent="0.25">
      <c r="A235" s="84" t="s">
        <v>247</v>
      </c>
      <c r="B235" s="91">
        <f>365</f>
        <v>365</v>
      </c>
      <c r="C235" s="84" t="s">
        <v>246</v>
      </c>
      <c r="D235" s="93" t="s">
        <v>446</v>
      </c>
      <c r="E235" s="55"/>
      <c r="G235" s="55"/>
      <c r="H235" s="55"/>
      <c r="I235" s="55"/>
    </row>
    <row r="236" spans="1:9" x14ac:dyDescent="0.25">
      <c r="A236" s="64" t="s">
        <v>233</v>
      </c>
      <c r="B236" s="70">
        <f>+B230*B235*B233</f>
        <v>2768.9655172413795</v>
      </c>
      <c r="C236" s="64" t="s">
        <v>235</v>
      </c>
      <c r="D236" s="64"/>
      <c r="E236" s="145"/>
      <c r="F236" t="s">
        <v>158</v>
      </c>
      <c r="G236" s="146">
        <f>+E236*0.086/1000</f>
        <v>0</v>
      </c>
      <c r="H236" s="42" t="s">
        <v>160</v>
      </c>
      <c r="I236" s="42"/>
    </row>
    <row r="237" spans="1:9" x14ac:dyDescent="0.25">
      <c r="A237" s="64" t="s">
        <v>234</v>
      </c>
      <c r="B237" s="70">
        <f>+B230*B234*B235</f>
        <v>7066.4</v>
      </c>
      <c r="C237" s="64" t="s">
        <v>158</v>
      </c>
      <c r="D237" s="64"/>
      <c r="E237" s="305">
        <f>+E236/B237</f>
        <v>0</v>
      </c>
      <c r="F237" t="s">
        <v>437</v>
      </c>
      <c r="G237" s="42"/>
      <c r="H237" s="42"/>
      <c r="I237" s="42"/>
    </row>
    <row r="238" spans="1:9" x14ac:dyDescent="0.25">
      <c r="A238" s="64" t="s">
        <v>184</v>
      </c>
      <c r="B238" s="94">
        <f>+B236*MMEE!$AA$44-B237*0.086/1000</f>
        <v>1.5650968413793105</v>
      </c>
      <c r="C238" s="66" t="s">
        <v>160</v>
      </c>
      <c r="D238" s="64"/>
    </row>
    <row r="239" spans="1:9" x14ac:dyDescent="0.25">
      <c r="A239" s="84" t="s">
        <v>161</v>
      </c>
      <c r="B239" s="278">
        <v>12</v>
      </c>
      <c r="C239" s="84" t="s">
        <v>162</v>
      </c>
      <c r="D239" s="84" t="s">
        <v>541</v>
      </c>
    </row>
    <row r="240" spans="1:9" x14ac:dyDescent="0.25">
      <c r="A240" s="64" t="s">
        <v>163</v>
      </c>
      <c r="B240" s="72">
        <v>7.4999999999999997E-2</v>
      </c>
      <c r="C240" s="64" t="s">
        <v>183</v>
      </c>
      <c r="D240" s="64"/>
    </row>
    <row r="241" spans="1:9" x14ac:dyDescent="0.25">
      <c r="A241" s="64" t="s">
        <v>164</v>
      </c>
      <c r="B241" s="254">
        <f>+PV(B240,B239,-B238,0,1)</f>
        <v>13.014444064222314</v>
      </c>
      <c r="C241" s="64" t="s">
        <v>165</v>
      </c>
      <c r="D241" s="64"/>
      <c r="E241" s="80">
        <f>+B241/0.086*1000</f>
        <v>151330.74493281762</v>
      </c>
      <c r="F241" t="s">
        <v>166</v>
      </c>
    </row>
    <row r="242" spans="1:9" x14ac:dyDescent="0.25">
      <c r="A242" s="297" t="s">
        <v>325</v>
      </c>
      <c r="B242" s="289">
        <v>3</v>
      </c>
      <c r="C242" s="84"/>
      <c r="D242" s="84"/>
    </row>
    <row r="243" spans="1:9" x14ac:dyDescent="0.25">
      <c r="A243" s="296" t="s">
        <v>370</v>
      </c>
      <c r="B243" s="46">
        <v>3</v>
      </c>
      <c r="C243" s="64"/>
      <c r="D243" s="64"/>
    </row>
    <row r="244" spans="1:9" x14ac:dyDescent="0.25">
      <c r="A244" s="296" t="s">
        <v>170</v>
      </c>
      <c r="B244" s="286">
        <v>1</v>
      </c>
      <c r="C244" s="64"/>
      <c r="D244" s="64"/>
      <c r="E244" s="42"/>
      <c r="F244" s="42"/>
      <c r="G244" s="42"/>
      <c r="H244" s="42"/>
      <c r="I244" s="42"/>
    </row>
    <row r="245" spans="1:9" x14ac:dyDescent="0.25">
      <c r="A245" s="84" t="s">
        <v>371</v>
      </c>
      <c r="B245" s="260">
        <v>5</v>
      </c>
      <c r="C245" s="64"/>
      <c r="D245" s="64"/>
    </row>
    <row r="246" spans="1:9" x14ac:dyDescent="0.25">
      <c r="A246" s="297" t="s">
        <v>171</v>
      </c>
      <c r="B246" s="97">
        <f>+B241*(IF(B242*B243*B244&gt;5,5,B242*B243*B244))</f>
        <v>65.072220321111573</v>
      </c>
      <c r="C246" s="64" t="s">
        <v>165</v>
      </c>
      <c r="D246" s="298"/>
    </row>
    <row r="247" spans="1:9" x14ac:dyDescent="0.25">
      <c r="A247" s="64" t="s">
        <v>140</v>
      </c>
      <c r="B247" s="60">
        <v>1000</v>
      </c>
      <c r="C247" s="64" t="s">
        <v>186</v>
      </c>
      <c r="D247" s="64"/>
    </row>
    <row r="248" spans="1:9" x14ac:dyDescent="0.25">
      <c r="A248" s="64" t="s">
        <v>322</v>
      </c>
      <c r="B248" s="62">
        <f>+B246*B247</f>
        <v>65072.22032111157</v>
      </c>
      <c r="C248" s="84" t="s">
        <v>130</v>
      </c>
      <c r="D248" s="81"/>
    </row>
    <row r="249" spans="1:9" x14ac:dyDescent="0.25">
      <c r="A249" s="84" t="s">
        <v>368</v>
      </c>
      <c r="B249" s="640">
        <v>70.81</v>
      </c>
      <c r="C249" s="84" t="s">
        <v>369</v>
      </c>
      <c r="D249" s="641" t="s">
        <v>548</v>
      </c>
    </row>
    <row r="250" spans="1:9" x14ac:dyDescent="0.25">
      <c r="A250" s="84" t="s">
        <v>331</v>
      </c>
      <c r="B250" s="640">
        <v>2.0939999999999999</v>
      </c>
      <c r="C250" s="84" t="s">
        <v>330</v>
      </c>
      <c r="D250" s="641" t="s">
        <v>372</v>
      </c>
    </row>
    <row r="251" spans="1:9" x14ac:dyDescent="0.25">
      <c r="A251" s="64" t="s">
        <v>329</v>
      </c>
      <c r="B251" s="230">
        <f>+B236*B249-B237*B250</f>
        <v>181273.40667586209</v>
      </c>
      <c r="C251" s="64" t="s">
        <v>332</v>
      </c>
      <c r="D251" s="64"/>
    </row>
    <row r="252" spans="1:9" x14ac:dyDescent="0.25">
      <c r="A252" s="299" t="s">
        <v>168</v>
      </c>
      <c r="B252" s="302">
        <f>(B231-B232)/(-PV(10%,B239,B251,0,0))</f>
        <v>0.90202647620047216</v>
      </c>
      <c r="C252" s="280"/>
      <c r="D252" s="280"/>
    </row>
    <row r="253" spans="1:9" x14ac:dyDescent="0.25">
      <c r="A253" s="84" t="s">
        <v>324</v>
      </c>
      <c r="B253" s="238">
        <f>+B248/B231</f>
        <v>3.4471695884468703E-2</v>
      </c>
      <c r="C253" s="64"/>
      <c r="D253" s="64"/>
    </row>
  </sheetData>
  <phoneticPr fontId="20" type="noConversion"/>
  <hyperlinks>
    <hyperlink ref="D177" r:id="rId1" display="https://mobility.uy/precios-y-financiacion/" xr:uid="{2ABE6ABA-529B-4A63-B546-713E5ABF07D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999"/>
  <sheetViews>
    <sheetView zoomScale="80" zoomScaleNormal="80" workbookViewId="0">
      <pane ySplit="4" topLeftCell="A5" activePane="bottomLeft" state="frozen"/>
      <selection pane="bottomLeft" activeCell="B2" sqref="B2"/>
    </sheetView>
  </sheetViews>
  <sheetFormatPr baseColWidth="10" defaultColWidth="14.42578125" defaultRowHeight="15" customHeight="1" x14ac:dyDescent="0.2"/>
  <cols>
    <col min="1" max="1" width="2.7109375" style="159" customWidth="1"/>
    <col min="2" max="2" width="25.28515625" style="159" customWidth="1"/>
    <col min="3" max="3" width="71.85546875" style="159" customWidth="1"/>
    <col min="4" max="4" width="16.140625" style="159" customWidth="1"/>
    <col min="5" max="5" width="12" style="159" customWidth="1"/>
    <col min="6" max="6" width="51" style="159" customWidth="1"/>
    <col min="7" max="7" width="55.28515625" style="159" customWidth="1"/>
    <col min="8" max="8" width="87.140625" style="352" customWidth="1"/>
    <col min="9" max="9" width="6.5703125" style="159" customWidth="1"/>
    <col min="10" max="16384" width="14.42578125" style="159"/>
  </cols>
  <sheetData>
    <row r="1" spans="1:9" ht="9.75" customHeight="1" x14ac:dyDescent="0.25">
      <c r="A1" s="155"/>
      <c r="B1" s="156"/>
      <c r="C1" s="156"/>
      <c r="D1" s="157"/>
      <c r="E1" s="156"/>
      <c r="F1" s="156"/>
      <c r="G1" s="156"/>
      <c r="H1" s="413"/>
      <c r="I1" s="158"/>
    </row>
    <row r="2" spans="1:9" ht="21" x14ac:dyDescent="0.35">
      <c r="A2" s="160"/>
      <c r="B2" s="160" t="s">
        <v>252</v>
      </c>
      <c r="C2" s="160"/>
      <c r="D2" s="417" t="s">
        <v>493</v>
      </c>
      <c r="E2" s="160"/>
      <c r="F2" s="160"/>
      <c r="G2" s="160"/>
      <c r="H2" s="414"/>
      <c r="I2" s="162"/>
    </row>
    <row r="3" spans="1:9" ht="4.5" customHeight="1" x14ac:dyDescent="0.25">
      <c r="A3" s="155"/>
      <c r="B3" s="156"/>
      <c r="C3" s="158"/>
      <c r="D3" s="163"/>
      <c r="E3" s="158"/>
      <c r="F3" s="155"/>
      <c r="G3" s="155"/>
      <c r="H3" s="415"/>
      <c r="I3" s="158"/>
    </row>
    <row r="4" spans="1:9" ht="56.25" customHeight="1" x14ac:dyDescent="0.2">
      <c r="A4" s="164"/>
      <c r="B4" s="165"/>
      <c r="C4" s="166" t="s">
        <v>253</v>
      </c>
      <c r="D4" s="167" t="s">
        <v>254</v>
      </c>
      <c r="E4" s="168" t="s">
        <v>64</v>
      </c>
      <c r="F4" s="168" t="s">
        <v>255</v>
      </c>
      <c r="G4" s="168" t="s">
        <v>256</v>
      </c>
      <c r="H4" s="408" t="s">
        <v>257</v>
      </c>
      <c r="I4" s="164"/>
    </row>
    <row r="5" spans="1:9" ht="140.25" customHeight="1" x14ac:dyDescent="0.2">
      <c r="A5" s="164"/>
      <c r="B5" s="711" t="s">
        <v>258</v>
      </c>
      <c r="C5" s="712" t="s">
        <v>259</v>
      </c>
      <c r="D5" s="723" t="s">
        <v>17</v>
      </c>
      <c r="E5" s="727">
        <f>+IF(D5="Seleccione",1,VLOOKUP(D5,$D$17:$E$19,2,FALSE))</f>
        <v>1</v>
      </c>
      <c r="F5" s="724"/>
      <c r="G5" s="712" t="s">
        <v>485</v>
      </c>
      <c r="H5" s="717" t="s">
        <v>260</v>
      </c>
      <c r="I5" s="164"/>
    </row>
    <row r="6" spans="1:9" ht="75" x14ac:dyDescent="0.2">
      <c r="A6" s="164"/>
      <c r="B6" s="898" t="s">
        <v>261</v>
      </c>
      <c r="C6" s="713" t="s">
        <v>262</v>
      </c>
      <c r="D6" s="723" t="s">
        <v>17</v>
      </c>
      <c r="E6" s="727">
        <f>+IF(D6="Seleccione",1,VLOOKUP(D6,$D$21:$E$23,2,FALSE))</f>
        <v>1</v>
      </c>
      <c r="F6" s="725"/>
      <c r="G6" s="714" t="s">
        <v>486</v>
      </c>
      <c r="H6" s="718" t="s">
        <v>487</v>
      </c>
      <c r="I6" s="164"/>
    </row>
    <row r="7" spans="1:9" ht="45" x14ac:dyDescent="0.2">
      <c r="A7" s="164"/>
      <c r="B7" s="899"/>
      <c r="C7" s="713" t="s">
        <v>263</v>
      </c>
      <c r="D7" s="723" t="s">
        <v>17</v>
      </c>
      <c r="E7" s="727">
        <f>+IF(D7="Seleccione",1,VLOOKUP(D7,$D$25:$E$27,2,FALSE))</f>
        <v>1</v>
      </c>
      <c r="F7" s="725"/>
      <c r="G7" s="714" t="s">
        <v>488</v>
      </c>
      <c r="H7" s="719" t="s">
        <v>260</v>
      </c>
      <c r="I7" s="164"/>
    </row>
    <row r="8" spans="1:9" ht="75.75" customHeight="1" x14ac:dyDescent="0.2">
      <c r="A8" s="164"/>
      <c r="B8" s="899"/>
      <c r="C8" s="713" t="s">
        <v>264</v>
      </c>
      <c r="D8" s="723" t="s">
        <v>17</v>
      </c>
      <c r="E8" s="727">
        <f>+IF(D8="Seleccione",1,VLOOKUP(D8,$D$29:$E$32,2,FALSE))</f>
        <v>1</v>
      </c>
      <c r="F8" s="726"/>
      <c r="G8" s="713" t="s">
        <v>489</v>
      </c>
      <c r="H8" s="718" t="s">
        <v>265</v>
      </c>
      <c r="I8" s="164"/>
    </row>
    <row r="9" spans="1:9" ht="168.75" customHeight="1" x14ac:dyDescent="0.2">
      <c r="A9" s="169"/>
      <c r="B9" s="900"/>
      <c r="C9" s="714" t="s">
        <v>484</v>
      </c>
      <c r="D9" s="723" t="s">
        <v>17</v>
      </c>
      <c r="E9" s="727">
        <f>+IF(D9="Seleccione",1,VLOOKUP(D9,$D$34:$E$36,2,FALSE))</f>
        <v>1</v>
      </c>
      <c r="F9" s="725"/>
      <c r="G9" s="714" t="s">
        <v>490</v>
      </c>
      <c r="H9" s="718" t="s">
        <v>491</v>
      </c>
      <c r="I9" s="164"/>
    </row>
    <row r="10" spans="1:9" ht="145.5" customHeight="1" thickBot="1" x14ac:dyDescent="0.25">
      <c r="A10" s="164"/>
      <c r="B10" s="715" t="s">
        <v>266</v>
      </c>
      <c r="C10" s="716" t="s">
        <v>483</v>
      </c>
      <c r="D10" s="723" t="s">
        <v>17</v>
      </c>
      <c r="E10" s="727">
        <f>+IF(D10="Seleccione",1,VLOOKUP(D10,$D$38:$E$39,2,FALSE))</f>
        <v>1</v>
      </c>
      <c r="F10" s="725"/>
      <c r="G10" s="714" t="s">
        <v>267</v>
      </c>
      <c r="H10" s="720" t="s">
        <v>492</v>
      </c>
      <c r="I10" s="164"/>
    </row>
    <row r="11" spans="1:9" ht="28.5" customHeight="1" thickBot="1" x14ac:dyDescent="0.25">
      <c r="A11" s="156"/>
      <c r="B11" s="170"/>
      <c r="C11" s="170"/>
      <c r="D11" s="171" t="s">
        <v>268</v>
      </c>
      <c r="E11" s="416">
        <f>+ROUND(PRODUCT(E5:E10),3)</f>
        <v>1</v>
      </c>
      <c r="F11" s="164"/>
      <c r="G11" s="164"/>
      <c r="H11" s="409"/>
      <c r="I11" s="156"/>
    </row>
    <row r="12" spans="1:9" x14ac:dyDescent="0.2">
      <c r="A12" s="164"/>
      <c r="B12" s="170"/>
      <c r="C12" s="170"/>
      <c r="D12" s="169"/>
      <c r="E12" s="172"/>
      <c r="F12" s="164"/>
      <c r="G12" s="164"/>
      <c r="H12" s="409"/>
      <c r="I12" s="164"/>
    </row>
    <row r="13" spans="1:9" ht="9.75" customHeight="1" x14ac:dyDescent="0.25">
      <c r="A13" s="173"/>
      <c r="B13" s="173"/>
      <c r="C13" s="173"/>
      <c r="D13" s="174"/>
      <c r="E13" s="175"/>
      <c r="F13" s="175"/>
      <c r="G13" s="175"/>
      <c r="H13" s="410"/>
      <c r="I13" s="176"/>
    </row>
    <row r="14" spans="1:9" x14ac:dyDescent="0.25">
      <c r="A14" s="177"/>
      <c r="B14" s="178" t="s">
        <v>12</v>
      </c>
      <c r="C14" s="178"/>
      <c r="D14" s="179"/>
      <c r="E14" s="177"/>
      <c r="F14" s="177"/>
      <c r="G14" s="177"/>
      <c r="H14" s="411"/>
      <c r="I14" s="177"/>
    </row>
    <row r="15" spans="1:9" hidden="1" x14ac:dyDescent="0.2">
      <c r="A15" s="164"/>
      <c r="B15" s="170"/>
      <c r="C15" s="170"/>
      <c r="D15" s="169"/>
      <c r="E15" s="172"/>
      <c r="F15" s="180"/>
      <c r="G15" s="180"/>
      <c r="H15" s="412"/>
      <c r="I15" s="164"/>
    </row>
    <row r="16" spans="1:9" ht="30" hidden="1" x14ac:dyDescent="0.2">
      <c r="A16" s="164"/>
      <c r="B16" s="170"/>
      <c r="C16" s="170"/>
      <c r="D16" s="400" t="s">
        <v>269</v>
      </c>
      <c r="E16" s="401"/>
      <c r="F16" s="164"/>
      <c r="G16" s="181"/>
      <c r="H16" s="412"/>
      <c r="I16" s="164"/>
    </row>
    <row r="17" spans="1:9" hidden="1" x14ac:dyDescent="0.2">
      <c r="A17" s="164"/>
      <c r="B17" s="170"/>
      <c r="C17" s="170"/>
      <c r="D17" s="402" t="s">
        <v>17</v>
      </c>
      <c r="E17" s="403">
        <v>1</v>
      </c>
      <c r="F17" s="164"/>
      <c r="G17" s="182"/>
      <c r="H17" s="412"/>
      <c r="I17" s="164"/>
    </row>
    <row r="18" spans="1:9" hidden="1" x14ac:dyDescent="0.2">
      <c r="A18" s="164"/>
      <c r="B18" s="170"/>
      <c r="C18" s="170"/>
      <c r="D18" s="402" t="s">
        <v>270</v>
      </c>
      <c r="E18" s="403">
        <v>1.0900000000000001</v>
      </c>
      <c r="F18" s="164"/>
      <c r="G18" s="164"/>
      <c r="H18" s="409"/>
      <c r="I18" s="164"/>
    </row>
    <row r="19" spans="1:9" hidden="1" x14ac:dyDescent="0.2">
      <c r="A19" s="164"/>
      <c r="B19" s="170"/>
      <c r="C19" s="170"/>
      <c r="D19" s="402" t="s">
        <v>271</v>
      </c>
      <c r="E19" s="404">
        <v>1.125</v>
      </c>
      <c r="F19" s="164"/>
      <c r="G19" s="164"/>
      <c r="H19" s="409"/>
      <c r="I19" s="164"/>
    </row>
    <row r="20" spans="1:9" hidden="1" x14ac:dyDescent="0.2">
      <c r="A20" s="164"/>
      <c r="B20" s="170"/>
      <c r="C20" s="170"/>
      <c r="D20" s="405" t="s">
        <v>272</v>
      </c>
      <c r="E20" s="401"/>
      <c r="F20" s="164"/>
      <c r="G20" s="164"/>
      <c r="H20" s="409"/>
      <c r="I20" s="164"/>
    </row>
    <row r="21" spans="1:9" ht="15.75" hidden="1" customHeight="1" x14ac:dyDescent="0.2">
      <c r="A21" s="164"/>
      <c r="B21" s="170"/>
      <c r="C21" s="170"/>
      <c r="D21" s="402" t="s">
        <v>17</v>
      </c>
      <c r="E21" s="403">
        <v>1</v>
      </c>
      <c r="F21" s="164"/>
      <c r="G21" s="164"/>
      <c r="H21" s="409"/>
      <c r="I21" s="164"/>
    </row>
    <row r="22" spans="1:9" ht="15.75" hidden="1" customHeight="1" x14ac:dyDescent="0.2">
      <c r="A22" s="164"/>
      <c r="B22" s="170"/>
      <c r="C22" s="170"/>
      <c r="D22" s="402" t="s">
        <v>74</v>
      </c>
      <c r="E22" s="403">
        <v>1</v>
      </c>
      <c r="F22" s="164"/>
      <c r="G22" s="164"/>
      <c r="H22" s="409"/>
      <c r="I22" s="164"/>
    </row>
    <row r="23" spans="1:9" ht="15.75" hidden="1" customHeight="1" x14ac:dyDescent="0.2">
      <c r="A23" s="164"/>
      <c r="B23" s="170"/>
      <c r="C23" s="170"/>
      <c r="D23" s="402" t="s">
        <v>71</v>
      </c>
      <c r="E23" s="403">
        <v>1.1399999999999999</v>
      </c>
      <c r="F23" s="164"/>
      <c r="G23" s="164"/>
      <c r="H23" s="409"/>
      <c r="I23" s="164"/>
    </row>
    <row r="24" spans="1:9" ht="15.75" hidden="1" customHeight="1" x14ac:dyDescent="0.2">
      <c r="A24" s="164"/>
      <c r="B24" s="170"/>
      <c r="C24" s="170"/>
      <c r="D24" s="405" t="s">
        <v>273</v>
      </c>
      <c r="E24" s="403"/>
      <c r="F24" s="164"/>
      <c r="G24" s="164"/>
      <c r="H24" s="409"/>
      <c r="I24" s="164"/>
    </row>
    <row r="25" spans="1:9" ht="15.75" hidden="1" customHeight="1" x14ac:dyDescent="0.2">
      <c r="A25" s="164"/>
      <c r="B25" s="170"/>
      <c r="C25" s="170"/>
      <c r="D25" s="402" t="s">
        <v>17</v>
      </c>
      <c r="E25" s="403">
        <v>1</v>
      </c>
      <c r="F25" s="164"/>
      <c r="G25" s="164"/>
      <c r="H25" s="409"/>
      <c r="I25" s="164"/>
    </row>
    <row r="26" spans="1:9" ht="15.75" hidden="1" customHeight="1" x14ac:dyDescent="0.2">
      <c r="A26" s="164"/>
      <c r="B26" s="170"/>
      <c r="C26" s="170"/>
      <c r="D26" s="402" t="s">
        <v>74</v>
      </c>
      <c r="E26" s="403">
        <v>1</v>
      </c>
      <c r="F26" s="164"/>
      <c r="G26" s="164"/>
      <c r="H26" s="409"/>
      <c r="I26" s="164"/>
    </row>
    <row r="27" spans="1:9" ht="15.75" hidden="1" customHeight="1" x14ac:dyDescent="0.2">
      <c r="A27" s="164"/>
      <c r="B27" s="170"/>
      <c r="C27" s="170"/>
      <c r="D27" s="402" t="s">
        <v>71</v>
      </c>
      <c r="E27" s="404">
        <v>1.125</v>
      </c>
      <c r="F27" s="164"/>
      <c r="G27" s="164"/>
      <c r="H27" s="409"/>
      <c r="I27" s="164"/>
    </row>
    <row r="28" spans="1:9" ht="15.75" hidden="1" customHeight="1" x14ac:dyDescent="0.2">
      <c r="A28" s="164"/>
      <c r="B28" s="170"/>
      <c r="C28" s="170"/>
      <c r="D28" s="901" t="s">
        <v>274</v>
      </c>
      <c r="E28" s="902"/>
      <c r="F28" s="164"/>
      <c r="G28" s="164"/>
      <c r="H28" s="409"/>
      <c r="I28" s="164"/>
    </row>
    <row r="29" spans="1:9" ht="15.75" hidden="1" customHeight="1" x14ac:dyDescent="0.2">
      <c r="A29" s="164"/>
      <c r="B29" s="170"/>
      <c r="C29" s="170"/>
      <c r="D29" s="402" t="s">
        <v>17</v>
      </c>
      <c r="E29" s="403">
        <v>1</v>
      </c>
      <c r="F29" s="164"/>
      <c r="G29" s="164"/>
      <c r="H29" s="409"/>
      <c r="I29" s="164"/>
    </row>
    <row r="30" spans="1:9" ht="15.75" hidden="1" customHeight="1" x14ac:dyDescent="0.2">
      <c r="A30" s="164"/>
      <c r="B30" s="170"/>
      <c r="C30" s="170"/>
      <c r="D30" s="406" t="s">
        <v>275</v>
      </c>
      <c r="E30" s="407">
        <v>1.06</v>
      </c>
      <c r="F30" s="164"/>
      <c r="G30" s="164"/>
      <c r="H30" s="409"/>
      <c r="I30" s="164"/>
    </row>
    <row r="31" spans="1:9" ht="15.75" hidden="1" customHeight="1" x14ac:dyDescent="0.2">
      <c r="A31" s="164"/>
      <c r="B31" s="170"/>
      <c r="C31" s="170"/>
      <c r="D31" s="406" t="s">
        <v>276</v>
      </c>
      <c r="E31" s="407">
        <v>1.1000000000000001</v>
      </c>
      <c r="F31" s="164"/>
      <c r="G31" s="164"/>
      <c r="H31" s="409"/>
      <c r="I31" s="164"/>
    </row>
    <row r="32" spans="1:9" ht="15.75" hidden="1" customHeight="1" x14ac:dyDescent="0.2">
      <c r="A32" s="164"/>
      <c r="B32" s="170"/>
      <c r="C32" s="170"/>
      <c r="D32" s="901" t="s">
        <v>277</v>
      </c>
      <c r="E32" s="902"/>
      <c r="F32" s="164"/>
      <c r="G32" s="164"/>
      <c r="H32" s="409"/>
      <c r="I32" s="164"/>
    </row>
    <row r="33" spans="1:9" ht="15.75" hidden="1" customHeight="1" x14ac:dyDescent="0.2">
      <c r="A33" s="164"/>
      <c r="B33" s="170"/>
      <c r="C33" s="170"/>
      <c r="D33" s="402" t="s">
        <v>17</v>
      </c>
      <c r="E33" s="403">
        <v>1</v>
      </c>
      <c r="F33" s="164"/>
      <c r="G33" s="164"/>
      <c r="H33" s="409"/>
      <c r="I33" s="164"/>
    </row>
    <row r="34" spans="1:9" ht="15.75" hidden="1" customHeight="1" x14ac:dyDescent="0.2">
      <c r="A34" s="164"/>
      <c r="B34" s="170"/>
      <c r="C34" s="170"/>
      <c r="D34" s="402" t="s">
        <v>74</v>
      </c>
      <c r="E34" s="403">
        <v>1</v>
      </c>
      <c r="F34" s="164"/>
      <c r="G34" s="164"/>
      <c r="H34" s="409"/>
      <c r="I34" s="164"/>
    </row>
    <row r="35" spans="1:9" ht="15.75" hidden="1" customHeight="1" x14ac:dyDescent="0.2">
      <c r="A35" s="164"/>
      <c r="B35" s="170"/>
      <c r="C35" s="170"/>
      <c r="D35" s="402" t="s">
        <v>71</v>
      </c>
      <c r="E35" s="404">
        <v>1.125</v>
      </c>
      <c r="F35" s="164"/>
      <c r="G35" s="164"/>
      <c r="H35" s="409"/>
      <c r="I35" s="164"/>
    </row>
    <row r="36" spans="1:9" ht="15.75" hidden="1" customHeight="1" x14ac:dyDescent="0.2">
      <c r="A36" s="164"/>
      <c r="B36" s="170"/>
      <c r="C36" s="170"/>
      <c r="D36" s="901" t="s">
        <v>278</v>
      </c>
      <c r="E36" s="902"/>
      <c r="F36" s="164"/>
      <c r="G36" s="164"/>
      <c r="H36" s="409"/>
      <c r="I36" s="164"/>
    </row>
    <row r="37" spans="1:9" ht="15.75" hidden="1" customHeight="1" x14ac:dyDescent="0.2">
      <c r="A37" s="164"/>
      <c r="B37" s="170"/>
      <c r="C37" s="170"/>
      <c r="D37" s="402" t="s">
        <v>17</v>
      </c>
      <c r="E37" s="403">
        <v>1</v>
      </c>
      <c r="F37" s="164"/>
      <c r="G37" s="164"/>
      <c r="H37" s="409"/>
      <c r="I37" s="164"/>
    </row>
    <row r="38" spans="1:9" ht="15.75" hidden="1" customHeight="1" x14ac:dyDescent="0.2">
      <c r="A38" s="164"/>
      <c r="B38" s="170"/>
      <c r="C38" s="170"/>
      <c r="D38" s="402" t="s">
        <v>74</v>
      </c>
      <c r="E38" s="403">
        <v>1</v>
      </c>
      <c r="F38" s="164"/>
      <c r="G38" s="164"/>
      <c r="H38" s="409"/>
      <c r="I38" s="164"/>
    </row>
    <row r="39" spans="1:9" ht="15.75" hidden="1" customHeight="1" x14ac:dyDescent="0.2">
      <c r="A39" s="164"/>
      <c r="B39" s="170"/>
      <c r="C39" s="170"/>
      <c r="D39" s="402" t="s">
        <v>71</v>
      </c>
      <c r="E39" s="404">
        <v>1.125</v>
      </c>
      <c r="F39" s="164"/>
      <c r="G39" s="164"/>
      <c r="H39" s="409"/>
      <c r="I39" s="164"/>
    </row>
    <row r="40" spans="1:9" ht="15.75" hidden="1" customHeight="1" x14ac:dyDescent="0.2">
      <c r="A40" s="164"/>
      <c r="B40" s="170"/>
      <c r="C40" s="170"/>
      <c r="D40" s="169"/>
      <c r="E40" s="183"/>
      <c r="F40" s="164"/>
      <c r="G40" s="164"/>
      <c r="H40" s="409"/>
      <c r="I40" s="164"/>
    </row>
    <row r="41" spans="1:9" ht="15.75" hidden="1" customHeight="1" x14ac:dyDescent="0.2">
      <c r="A41" s="164"/>
      <c r="B41" s="170"/>
      <c r="C41" s="170"/>
      <c r="D41" s="169"/>
      <c r="E41" s="172"/>
      <c r="F41" s="164"/>
      <c r="G41" s="164"/>
      <c r="H41" s="409"/>
      <c r="I41" s="164"/>
    </row>
    <row r="42" spans="1:9" ht="15.75" customHeight="1" x14ac:dyDescent="0.2">
      <c r="A42" s="164"/>
      <c r="B42" s="170"/>
      <c r="C42" s="170"/>
      <c r="D42" s="169"/>
      <c r="E42" s="172"/>
      <c r="F42" s="164"/>
      <c r="G42" s="164"/>
      <c r="H42" s="409"/>
      <c r="I42" s="164"/>
    </row>
    <row r="43" spans="1:9" ht="15.75" customHeight="1" x14ac:dyDescent="0.2">
      <c r="A43" s="164"/>
      <c r="B43" s="170"/>
      <c r="C43" s="170"/>
      <c r="D43" s="169"/>
      <c r="E43" s="172"/>
      <c r="F43" s="164"/>
      <c r="G43" s="164"/>
      <c r="H43" s="409"/>
      <c r="I43" s="164"/>
    </row>
    <row r="44" spans="1:9" ht="15.75" customHeight="1" x14ac:dyDescent="0.2">
      <c r="A44" s="164"/>
      <c r="B44" s="170"/>
      <c r="C44" s="170"/>
      <c r="D44" s="169"/>
      <c r="E44" s="172"/>
      <c r="F44" s="164"/>
      <c r="G44" s="164"/>
      <c r="H44" s="409"/>
      <c r="I44" s="164"/>
    </row>
    <row r="45" spans="1:9" ht="15.75" customHeight="1" x14ac:dyDescent="0.2">
      <c r="A45" s="164"/>
      <c r="B45" s="170"/>
      <c r="C45" s="170"/>
      <c r="D45" s="169"/>
      <c r="E45" s="172"/>
      <c r="F45" s="164"/>
      <c r="G45" s="164"/>
      <c r="H45" s="409"/>
      <c r="I45" s="164"/>
    </row>
    <row r="46" spans="1:9" ht="15.75" customHeight="1" x14ac:dyDescent="0.2">
      <c r="A46" s="164"/>
      <c r="B46" s="170"/>
      <c r="C46" s="170"/>
      <c r="D46" s="169"/>
      <c r="E46" s="172"/>
      <c r="F46" s="164"/>
      <c r="G46" s="164"/>
      <c r="H46" s="409"/>
      <c r="I46" s="164"/>
    </row>
    <row r="47" spans="1:9" ht="15.75" customHeight="1" x14ac:dyDescent="0.2">
      <c r="A47" s="164"/>
      <c r="B47" s="170"/>
      <c r="C47" s="170"/>
      <c r="D47" s="169"/>
      <c r="E47" s="172"/>
      <c r="F47" s="164"/>
      <c r="G47" s="164"/>
      <c r="H47" s="409"/>
      <c r="I47" s="164"/>
    </row>
    <row r="48" spans="1:9" ht="15.75" customHeight="1" x14ac:dyDescent="0.2">
      <c r="A48" s="164"/>
      <c r="B48" s="170"/>
      <c r="C48" s="170"/>
      <c r="D48" s="169"/>
      <c r="E48" s="172"/>
      <c r="F48" s="164"/>
      <c r="G48" s="164"/>
      <c r="H48" s="409"/>
      <c r="I48" s="164"/>
    </row>
    <row r="49" spans="1:9" ht="15.75" customHeight="1" x14ac:dyDescent="0.2">
      <c r="A49" s="164"/>
      <c r="B49" s="170"/>
      <c r="C49" s="170"/>
      <c r="D49" s="169"/>
      <c r="E49" s="172"/>
      <c r="F49" s="164"/>
      <c r="G49" s="164"/>
      <c r="H49" s="409"/>
      <c r="I49" s="164"/>
    </row>
    <row r="50" spans="1:9" ht="15.75" customHeight="1" x14ac:dyDescent="0.2">
      <c r="A50" s="164"/>
      <c r="B50" s="170"/>
      <c r="C50" s="170"/>
      <c r="D50" s="169"/>
      <c r="E50" s="172"/>
      <c r="F50" s="164"/>
      <c r="G50" s="164"/>
      <c r="H50" s="409"/>
      <c r="I50" s="164"/>
    </row>
    <row r="51" spans="1:9" ht="15.75" customHeight="1" x14ac:dyDescent="0.2">
      <c r="A51" s="164"/>
      <c r="B51" s="170"/>
      <c r="C51" s="170"/>
      <c r="D51" s="169"/>
      <c r="E51" s="172"/>
      <c r="F51" s="164"/>
      <c r="G51" s="164"/>
      <c r="H51" s="409"/>
      <c r="I51" s="164"/>
    </row>
    <row r="52" spans="1:9" ht="15.75" customHeight="1" x14ac:dyDescent="0.2">
      <c r="A52" s="164"/>
      <c r="B52" s="170"/>
      <c r="C52" s="170"/>
      <c r="D52" s="169"/>
      <c r="E52" s="172"/>
      <c r="F52" s="164"/>
      <c r="G52" s="164"/>
      <c r="H52" s="409"/>
      <c r="I52" s="164"/>
    </row>
    <row r="53" spans="1:9" ht="15.75" customHeight="1" x14ac:dyDescent="0.2">
      <c r="A53" s="164"/>
      <c r="B53" s="170"/>
      <c r="C53" s="170"/>
      <c r="D53" s="169"/>
      <c r="E53" s="172"/>
      <c r="F53" s="164"/>
      <c r="G53" s="164"/>
      <c r="H53" s="409"/>
      <c r="I53" s="164"/>
    </row>
    <row r="54" spans="1:9" ht="15.75" customHeight="1" x14ac:dyDescent="0.2">
      <c r="A54" s="164"/>
      <c r="B54" s="170"/>
      <c r="C54" s="170"/>
      <c r="D54" s="169"/>
      <c r="E54" s="172"/>
      <c r="F54" s="164"/>
      <c r="G54" s="164"/>
      <c r="H54" s="409"/>
      <c r="I54" s="164"/>
    </row>
    <row r="55" spans="1:9" ht="15.75" customHeight="1" x14ac:dyDescent="0.2">
      <c r="A55" s="164"/>
      <c r="B55" s="170"/>
      <c r="C55" s="170"/>
      <c r="D55" s="169"/>
      <c r="E55" s="172"/>
      <c r="F55" s="164"/>
      <c r="G55" s="164"/>
      <c r="H55" s="409"/>
      <c r="I55" s="164"/>
    </row>
    <row r="56" spans="1:9" ht="15.75" customHeight="1" x14ac:dyDescent="0.2">
      <c r="A56" s="164"/>
      <c r="B56" s="170"/>
      <c r="C56" s="170"/>
      <c r="D56" s="169"/>
      <c r="E56" s="172"/>
      <c r="F56" s="164"/>
      <c r="G56" s="164"/>
      <c r="H56" s="409"/>
      <c r="I56" s="164"/>
    </row>
    <row r="57" spans="1:9" ht="15.75" customHeight="1" x14ac:dyDescent="0.2">
      <c r="A57" s="164"/>
      <c r="B57" s="170"/>
      <c r="C57" s="170"/>
      <c r="D57" s="169"/>
      <c r="E57" s="172"/>
      <c r="F57" s="164"/>
      <c r="G57" s="164"/>
      <c r="H57" s="409"/>
      <c r="I57" s="164"/>
    </row>
    <row r="58" spans="1:9" ht="15.75" customHeight="1" x14ac:dyDescent="0.2">
      <c r="A58" s="164"/>
      <c r="B58" s="170"/>
      <c r="C58" s="170"/>
      <c r="D58" s="169"/>
      <c r="E58" s="172"/>
      <c r="F58" s="164"/>
      <c r="G58" s="164"/>
      <c r="H58" s="409"/>
      <c r="I58" s="164"/>
    </row>
    <row r="59" spans="1:9" ht="15.75" customHeight="1" x14ac:dyDescent="0.2">
      <c r="A59" s="164"/>
      <c r="B59" s="170"/>
      <c r="C59" s="170"/>
      <c r="D59" s="169"/>
      <c r="E59" s="172"/>
      <c r="F59" s="164"/>
      <c r="G59" s="164"/>
      <c r="H59" s="409"/>
      <c r="I59" s="164"/>
    </row>
    <row r="60" spans="1:9" ht="15.75" customHeight="1" x14ac:dyDescent="0.2">
      <c r="A60" s="164"/>
      <c r="B60" s="170"/>
      <c r="C60" s="170"/>
      <c r="D60" s="169"/>
      <c r="E60" s="172"/>
      <c r="F60" s="164"/>
      <c r="G60" s="164"/>
      <c r="H60" s="409"/>
      <c r="I60" s="164"/>
    </row>
    <row r="61" spans="1:9" ht="15.75" customHeight="1" x14ac:dyDescent="0.2">
      <c r="A61" s="164"/>
      <c r="B61" s="170"/>
      <c r="C61" s="170"/>
      <c r="D61" s="169"/>
      <c r="E61" s="172"/>
      <c r="F61" s="164"/>
      <c r="G61" s="164"/>
      <c r="H61" s="409"/>
      <c r="I61" s="164"/>
    </row>
    <row r="62" spans="1:9" ht="15.75" customHeight="1" x14ac:dyDescent="0.2">
      <c r="A62" s="164"/>
      <c r="B62" s="170"/>
      <c r="C62" s="170"/>
      <c r="D62" s="169"/>
      <c r="E62" s="172"/>
      <c r="F62" s="164"/>
      <c r="G62" s="164"/>
      <c r="H62" s="409"/>
      <c r="I62" s="164"/>
    </row>
    <row r="63" spans="1:9" ht="15.75" customHeight="1" x14ac:dyDescent="0.2">
      <c r="A63" s="164"/>
      <c r="B63" s="170"/>
      <c r="C63" s="170"/>
      <c r="D63" s="169"/>
      <c r="E63" s="172"/>
      <c r="F63" s="164"/>
      <c r="G63" s="164"/>
      <c r="H63" s="409"/>
      <c r="I63" s="164"/>
    </row>
    <row r="64" spans="1:9" ht="15.75" customHeight="1" x14ac:dyDescent="0.2">
      <c r="A64" s="164"/>
      <c r="B64" s="170"/>
      <c r="C64" s="170"/>
      <c r="D64" s="169"/>
      <c r="E64" s="172"/>
      <c r="F64" s="164"/>
      <c r="G64" s="164"/>
      <c r="H64" s="409"/>
      <c r="I64" s="164"/>
    </row>
    <row r="65" spans="1:9" ht="15.75" customHeight="1" x14ac:dyDescent="0.2">
      <c r="A65" s="164"/>
      <c r="B65" s="170"/>
      <c r="C65" s="170"/>
      <c r="D65" s="169"/>
      <c r="E65" s="172"/>
      <c r="F65" s="164"/>
      <c r="G65" s="164"/>
      <c r="H65" s="409"/>
      <c r="I65" s="164"/>
    </row>
    <row r="66" spans="1:9" ht="15.75" customHeight="1" x14ac:dyDescent="0.2">
      <c r="A66" s="164"/>
      <c r="B66" s="170"/>
      <c r="C66" s="170"/>
      <c r="D66" s="169"/>
      <c r="E66" s="172"/>
      <c r="F66" s="164"/>
      <c r="G66" s="164"/>
      <c r="H66" s="409"/>
      <c r="I66" s="164"/>
    </row>
    <row r="67" spans="1:9" ht="15.75" customHeight="1" x14ac:dyDescent="0.2">
      <c r="A67" s="164"/>
      <c r="B67" s="170"/>
      <c r="C67" s="170"/>
      <c r="D67" s="169"/>
      <c r="E67" s="172"/>
      <c r="F67" s="164"/>
      <c r="G67" s="164"/>
      <c r="H67" s="409"/>
      <c r="I67" s="164"/>
    </row>
    <row r="68" spans="1:9" ht="15.75" customHeight="1" x14ac:dyDescent="0.2">
      <c r="A68" s="164"/>
      <c r="B68" s="170"/>
      <c r="C68" s="170"/>
      <c r="D68" s="169"/>
      <c r="E68" s="172"/>
      <c r="F68" s="164"/>
      <c r="G68" s="164"/>
      <c r="H68" s="409"/>
      <c r="I68" s="164"/>
    </row>
    <row r="69" spans="1:9" ht="15.75" customHeight="1" x14ac:dyDescent="0.2">
      <c r="A69" s="164"/>
      <c r="B69" s="170"/>
      <c r="C69" s="170"/>
      <c r="D69" s="169"/>
      <c r="E69" s="172"/>
      <c r="F69" s="164"/>
      <c r="G69" s="164"/>
      <c r="H69" s="409"/>
      <c r="I69" s="164"/>
    </row>
    <row r="70" spans="1:9" ht="15.75" customHeight="1" x14ac:dyDescent="0.2">
      <c r="A70" s="164"/>
      <c r="B70" s="170"/>
      <c r="C70" s="170"/>
      <c r="D70" s="169"/>
      <c r="E70" s="172"/>
      <c r="F70" s="164"/>
      <c r="G70" s="164"/>
      <c r="H70" s="409"/>
      <c r="I70" s="164"/>
    </row>
    <row r="71" spans="1:9" ht="15.75" customHeight="1" x14ac:dyDescent="0.2">
      <c r="A71" s="164"/>
      <c r="B71" s="170"/>
      <c r="C71" s="170"/>
      <c r="D71" s="169"/>
      <c r="E71" s="172"/>
      <c r="F71" s="164"/>
      <c r="G71" s="164"/>
      <c r="H71" s="409"/>
      <c r="I71" s="164"/>
    </row>
    <row r="72" spans="1:9" ht="15.75" customHeight="1" x14ac:dyDescent="0.2">
      <c r="A72" s="164"/>
      <c r="B72" s="170"/>
      <c r="C72" s="170"/>
      <c r="D72" s="169"/>
      <c r="E72" s="172"/>
      <c r="F72" s="164"/>
      <c r="G72" s="164"/>
      <c r="H72" s="409"/>
      <c r="I72" s="164"/>
    </row>
    <row r="73" spans="1:9" ht="15.75" customHeight="1" x14ac:dyDescent="0.2">
      <c r="A73" s="164"/>
      <c r="B73" s="170"/>
      <c r="C73" s="170"/>
      <c r="D73" s="169"/>
      <c r="E73" s="172"/>
      <c r="F73" s="164"/>
      <c r="G73" s="164"/>
      <c r="H73" s="409"/>
      <c r="I73" s="164"/>
    </row>
    <row r="74" spans="1:9" ht="15.75" customHeight="1" x14ac:dyDescent="0.2">
      <c r="A74" s="164"/>
      <c r="B74" s="170"/>
      <c r="C74" s="170"/>
      <c r="D74" s="169"/>
      <c r="E74" s="172"/>
      <c r="F74" s="164"/>
      <c r="G74" s="164"/>
      <c r="H74" s="409"/>
      <c r="I74" s="164"/>
    </row>
    <row r="75" spans="1:9" ht="15.75" customHeight="1" x14ac:dyDescent="0.2">
      <c r="A75" s="164"/>
      <c r="B75" s="170"/>
      <c r="C75" s="170"/>
      <c r="D75" s="169"/>
      <c r="E75" s="172"/>
      <c r="F75" s="164"/>
      <c r="G75" s="164"/>
      <c r="H75" s="409"/>
      <c r="I75" s="164"/>
    </row>
    <row r="76" spans="1:9" ht="15.75" customHeight="1" x14ac:dyDescent="0.2">
      <c r="A76" s="164"/>
      <c r="B76" s="170"/>
      <c r="C76" s="170"/>
      <c r="D76" s="169"/>
      <c r="E76" s="172"/>
      <c r="F76" s="164"/>
      <c r="G76" s="164"/>
      <c r="H76" s="409"/>
      <c r="I76" s="164"/>
    </row>
    <row r="77" spans="1:9" ht="15.75" customHeight="1" x14ac:dyDescent="0.2">
      <c r="A77" s="164"/>
      <c r="B77" s="170"/>
      <c r="C77" s="170"/>
      <c r="D77" s="169"/>
      <c r="E77" s="172"/>
      <c r="F77" s="164"/>
      <c r="G77" s="164"/>
      <c r="H77" s="409"/>
      <c r="I77" s="164"/>
    </row>
    <row r="78" spans="1:9" ht="15.75" customHeight="1" x14ac:dyDescent="0.2">
      <c r="A78" s="164"/>
      <c r="B78" s="170"/>
      <c r="C78" s="170"/>
      <c r="D78" s="169"/>
      <c r="E78" s="172"/>
      <c r="F78" s="164"/>
      <c r="G78" s="164"/>
      <c r="H78" s="409"/>
      <c r="I78" s="164"/>
    </row>
    <row r="79" spans="1:9" ht="15.75" customHeight="1" x14ac:dyDescent="0.2">
      <c r="A79" s="164"/>
      <c r="B79" s="170"/>
      <c r="C79" s="170"/>
      <c r="D79" s="169"/>
      <c r="E79" s="172"/>
      <c r="F79" s="164"/>
      <c r="G79" s="164"/>
      <c r="H79" s="409"/>
      <c r="I79" s="164"/>
    </row>
    <row r="80" spans="1:9" ht="15.75" customHeight="1" x14ac:dyDescent="0.2">
      <c r="A80" s="164"/>
      <c r="B80" s="170"/>
      <c r="C80" s="170"/>
      <c r="D80" s="169"/>
      <c r="E80" s="172"/>
      <c r="F80" s="164"/>
      <c r="G80" s="164"/>
      <c r="H80" s="409"/>
      <c r="I80" s="164"/>
    </row>
    <row r="81" spans="1:9" ht="15.75" customHeight="1" x14ac:dyDescent="0.2">
      <c r="A81" s="164"/>
      <c r="B81" s="170"/>
      <c r="C81" s="170"/>
      <c r="D81" s="169"/>
      <c r="E81" s="172"/>
      <c r="F81" s="164"/>
      <c r="G81" s="164"/>
      <c r="H81" s="409"/>
      <c r="I81" s="164"/>
    </row>
    <row r="82" spans="1:9" ht="15.75" customHeight="1" x14ac:dyDescent="0.2">
      <c r="A82" s="164"/>
      <c r="B82" s="170"/>
      <c r="C82" s="170"/>
      <c r="D82" s="169"/>
      <c r="E82" s="172"/>
      <c r="F82" s="164"/>
      <c r="G82" s="164"/>
      <c r="H82" s="409"/>
      <c r="I82" s="164"/>
    </row>
    <row r="83" spans="1:9" ht="15.75" customHeight="1" x14ac:dyDescent="0.2">
      <c r="A83" s="164"/>
      <c r="B83" s="170"/>
      <c r="C83" s="170"/>
      <c r="D83" s="169"/>
      <c r="E83" s="172"/>
      <c r="F83" s="164"/>
      <c r="G83" s="164"/>
      <c r="H83" s="409"/>
      <c r="I83" s="164"/>
    </row>
    <row r="84" spans="1:9" ht="15.75" customHeight="1" x14ac:dyDescent="0.2">
      <c r="A84" s="164"/>
      <c r="B84" s="170"/>
      <c r="C84" s="170"/>
      <c r="D84" s="169"/>
      <c r="E84" s="172"/>
      <c r="F84" s="164"/>
      <c r="G84" s="164"/>
      <c r="H84" s="409"/>
      <c r="I84" s="164"/>
    </row>
    <row r="85" spans="1:9" ht="15.75" customHeight="1" x14ac:dyDescent="0.2">
      <c r="A85" s="164"/>
      <c r="B85" s="170"/>
      <c r="C85" s="170"/>
      <c r="D85" s="169"/>
      <c r="E85" s="172"/>
      <c r="F85" s="164"/>
      <c r="G85" s="164"/>
      <c r="H85" s="409"/>
      <c r="I85" s="164"/>
    </row>
    <row r="86" spans="1:9" ht="15.75" customHeight="1" x14ac:dyDescent="0.2">
      <c r="A86" s="164"/>
      <c r="B86" s="170"/>
      <c r="C86" s="170"/>
      <c r="D86" s="169"/>
      <c r="E86" s="172"/>
      <c r="F86" s="164"/>
      <c r="G86" s="164"/>
      <c r="H86" s="409"/>
      <c r="I86" s="164"/>
    </row>
    <row r="87" spans="1:9" ht="15.75" customHeight="1" x14ac:dyDescent="0.2">
      <c r="A87" s="164"/>
      <c r="B87" s="170"/>
      <c r="C87" s="170"/>
      <c r="D87" s="169"/>
      <c r="E87" s="172"/>
      <c r="F87" s="164"/>
      <c r="G87" s="164"/>
      <c r="H87" s="409"/>
      <c r="I87" s="164"/>
    </row>
    <row r="88" spans="1:9" ht="15.75" customHeight="1" x14ac:dyDescent="0.2">
      <c r="A88" s="164"/>
      <c r="B88" s="170"/>
      <c r="C88" s="170"/>
      <c r="D88" s="169"/>
      <c r="E88" s="172"/>
      <c r="F88" s="164"/>
      <c r="G88" s="164"/>
      <c r="H88" s="409"/>
      <c r="I88" s="164"/>
    </row>
    <row r="89" spans="1:9" ht="15.75" customHeight="1" x14ac:dyDescent="0.2">
      <c r="A89" s="164"/>
      <c r="B89" s="170"/>
      <c r="C89" s="170"/>
      <c r="D89" s="169"/>
      <c r="E89" s="172"/>
      <c r="F89" s="164"/>
      <c r="G89" s="164"/>
      <c r="H89" s="409"/>
      <c r="I89" s="164"/>
    </row>
    <row r="90" spans="1:9" ht="15.75" customHeight="1" x14ac:dyDescent="0.2">
      <c r="A90" s="164"/>
      <c r="B90" s="170"/>
      <c r="C90" s="170"/>
      <c r="D90" s="169"/>
      <c r="E90" s="172"/>
      <c r="F90" s="164"/>
      <c r="G90" s="164"/>
      <c r="H90" s="409"/>
      <c r="I90" s="164"/>
    </row>
    <row r="91" spans="1:9" ht="15.75" customHeight="1" x14ac:dyDescent="0.2">
      <c r="A91" s="164"/>
      <c r="B91" s="170"/>
      <c r="C91" s="170"/>
      <c r="D91" s="169"/>
      <c r="E91" s="172"/>
      <c r="F91" s="164"/>
      <c r="G91" s="164"/>
      <c r="H91" s="409"/>
      <c r="I91" s="164"/>
    </row>
    <row r="92" spans="1:9" ht="15.75" customHeight="1" x14ac:dyDescent="0.2">
      <c r="A92" s="164"/>
      <c r="B92" s="170"/>
      <c r="C92" s="170"/>
      <c r="D92" s="169"/>
      <c r="E92" s="172"/>
      <c r="F92" s="164"/>
      <c r="G92" s="164"/>
      <c r="H92" s="409"/>
      <c r="I92" s="164"/>
    </row>
    <row r="93" spans="1:9" ht="15.75" customHeight="1" x14ac:dyDescent="0.2">
      <c r="A93" s="164"/>
      <c r="B93" s="170"/>
      <c r="C93" s="170"/>
      <c r="D93" s="169"/>
      <c r="E93" s="172"/>
      <c r="F93" s="164"/>
      <c r="G93" s="164"/>
      <c r="H93" s="409"/>
      <c r="I93" s="164"/>
    </row>
    <row r="94" spans="1:9" ht="15.75" customHeight="1" x14ac:dyDescent="0.2">
      <c r="A94" s="164"/>
      <c r="B94" s="170"/>
      <c r="C94" s="170"/>
      <c r="D94" s="169"/>
      <c r="E94" s="172"/>
      <c r="F94" s="164"/>
      <c r="G94" s="164"/>
      <c r="H94" s="409"/>
      <c r="I94" s="164"/>
    </row>
    <row r="95" spans="1:9" ht="15.75" customHeight="1" x14ac:dyDescent="0.2">
      <c r="A95" s="164"/>
      <c r="B95" s="170"/>
      <c r="C95" s="170"/>
      <c r="D95" s="169"/>
      <c r="E95" s="172"/>
      <c r="F95" s="164"/>
      <c r="G95" s="164"/>
      <c r="H95" s="409"/>
      <c r="I95" s="164"/>
    </row>
    <row r="96" spans="1:9" ht="15.75" customHeight="1" x14ac:dyDescent="0.2">
      <c r="A96" s="164"/>
      <c r="B96" s="170"/>
      <c r="C96" s="170"/>
      <c r="D96" s="169"/>
      <c r="E96" s="172"/>
      <c r="F96" s="164"/>
      <c r="G96" s="164"/>
      <c r="H96" s="409"/>
      <c r="I96" s="164"/>
    </row>
    <row r="97" spans="1:9" ht="15.75" customHeight="1" x14ac:dyDescent="0.2">
      <c r="A97" s="164"/>
      <c r="B97" s="170"/>
      <c r="C97" s="170"/>
      <c r="D97" s="169"/>
      <c r="E97" s="172"/>
      <c r="F97" s="164"/>
      <c r="G97" s="164"/>
      <c r="H97" s="409"/>
      <c r="I97" s="164"/>
    </row>
    <row r="98" spans="1:9" ht="15.75" customHeight="1" x14ac:dyDescent="0.2">
      <c r="A98" s="164"/>
      <c r="B98" s="170"/>
      <c r="C98" s="170"/>
      <c r="D98" s="169"/>
      <c r="E98" s="172"/>
      <c r="F98" s="164"/>
      <c r="G98" s="164"/>
      <c r="H98" s="409"/>
      <c r="I98" s="164"/>
    </row>
    <row r="99" spans="1:9" ht="15.75" customHeight="1" x14ac:dyDescent="0.2">
      <c r="A99" s="164"/>
      <c r="B99" s="170"/>
      <c r="C99" s="170"/>
      <c r="D99" s="169"/>
      <c r="E99" s="172"/>
      <c r="F99" s="164"/>
      <c r="G99" s="164"/>
      <c r="H99" s="409"/>
      <c r="I99" s="164"/>
    </row>
    <row r="100" spans="1:9" ht="15.75" customHeight="1" x14ac:dyDescent="0.2">
      <c r="A100" s="164"/>
      <c r="B100" s="170"/>
      <c r="C100" s="170"/>
      <c r="D100" s="169"/>
      <c r="E100" s="172"/>
      <c r="F100" s="164"/>
      <c r="G100" s="164"/>
      <c r="H100" s="409"/>
      <c r="I100" s="164"/>
    </row>
    <row r="101" spans="1:9" ht="15.75" customHeight="1" x14ac:dyDescent="0.2">
      <c r="A101" s="164"/>
      <c r="B101" s="170"/>
      <c r="C101" s="170"/>
      <c r="D101" s="169"/>
      <c r="E101" s="172"/>
      <c r="F101" s="164"/>
      <c r="G101" s="164"/>
      <c r="H101" s="409"/>
      <c r="I101" s="164"/>
    </row>
    <row r="102" spans="1:9" ht="15.75" customHeight="1" x14ac:dyDescent="0.2">
      <c r="A102" s="164"/>
      <c r="B102" s="170"/>
      <c r="C102" s="170"/>
      <c r="D102" s="169"/>
      <c r="E102" s="172"/>
      <c r="F102" s="164"/>
      <c r="G102" s="164"/>
      <c r="H102" s="409"/>
      <c r="I102" s="164"/>
    </row>
    <row r="103" spans="1:9" ht="15.75" customHeight="1" x14ac:dyDescent="0.2">
      <c r="A103" s="164"/>
      <c r="B103" s="170"/>
      <c r="C103" s="170"/>
      <c r="D103" s="169"/>
      <c r="E103" s="172"/>
      <c r="F103" s="164"/>
      <c r="G103" s="164"/>
      <c r="H103" s="409"/>
      <c r="I103" s="164"/>
    </row>
    <row r="104" spans="1:9" ht="15.75" customHeight="1" x14ac:dyDescent="0.2">
      <c r="A104" s="164"/>
      <c r="B104" s="170"/>
      <c r="C104" s="170"/>
      <c r="D104" s="169"/>
      <c r="E104" s="172"/>
      <c r="F104" s="164"/>
      <c r="G104" s="164"/>
      <c r="H104" s="409"/>
      <c r="I104" s="164"/>
    </row>
    <row r="105" spans="1:9" ht="15.75" customHeight="1" x14ac:dyDescent="0.2">
      <c r="A105" s="164"/>
      <c r="B105" s="170"/>
      <c r="C105" s="170"/>
      <c r="D105" s="169"/>
      <c r="E105" s="172"/>
      <c r="F105" s="164"/>
      <c r="G105" s="164"/>
      <c r="H105" s="409"/>
      <c r="I105" s="164"/>
    </row>
    <row r="106" spans="1:9" ht="15.75" customHeight="1" x14ac:dyDescent="0.2">
      <c r="A106" s="164"/>
      <c r="B106" s="170"/>
      <c r="C106" s="170"/>
      <c r="D106" s="169"/>
      <c r="E106" s="172"/>
      <c r="F106" s="164"/>
      <c r="G106" s="164"/>
      <c r="H106" s="409"/>
      <c r="I106" s="164"/>
    </row>
    <row r="107" spans="1:9" ht="15.75" customHeight="1" x14ac:dyDescent="0.2">
      <c r="A107" s="164"/>
      <c r="B107" s="170"/>
      <c r="C107" s="170"/>
      <c r="D107" s="169"/>
      <c r="E107" s="172"/>
      <c r="F107" s="164"/>
      <c r="G107" s="164"/>
      <c r="H107" s="409"/>
      <c r="I107" s="164"/>
    </row>
    <row r="108" spans="1:9" ht="15.75" customHeight="1" x14ac:dyDescent="0.2">
      <c r="A108" s="164"/>
      <c r="B108" s="170"/>
      <c r="C108" s="170"/>
      <c r="D108" s="169"/>
      <c r="E108" s="172"/>
      <c r="F108" s="164"/>
      <c r="G108" s="164"/>
      <c r="H108" s="409"/>
      <c r="I108" s="164"/>
    </row>
    <row r="109" spans="1:9" ht="15.75" customHeight="1" x14ac:dyDescent="0.2">
      <c r="A109" s="164"/>
      <c r="B109" s="170"/>
      <c r="C109" s="170"/>
      <c r="D109" s="169"/>
      <c r="E109" s="172"/>
      <c r="F109" s="164"/>
      <c r="G109" s="164"/>
      <c r="H109" s="409"/>
      <c r="I109" s="164"/>
    </row>
    <row r="110" spans="1:9" ht="15.75" customHeight="1" x14ac:dyDescent="0.2">
      <c r="A110" s="164"/>
      <c r="B110" s="170"/>
      <c r="C110" s="170"/>
      <c r="D110" s="169"/>
      <c r="E110" s="172"/>
      <c r="F110" s="164"/>
      <c r="G110" s="164"/>
      <c r="H110" s="409"/>
      <c r="I110" s="164"/>
    </row>
    <row r="111" spans="1:9" ht="15.75" customHeight="1" x14ac:dyDescent="0.2">
      <c r="A111" s="164"/>
      <c r="B111" s="170"/>
      <c r="C111" s="170"/>
      <c r="D111" s="169"/>
      <c r="E111" s="172"/>
      <c r="F111" s="164"/>
      <c r="G111" s="164"/>
      <c r="H111" s="409"/>
      <c r="I111" s="164"/>
    </row>
    <row r="112" spans="1:9" ht="15.75" customHeight="1" x14ac:dyDescent="0.2">
      <c r="A112" s="164"/>
      <c r="B112" s="170"/>
      <c r="C112" s="170"/>
      <c r="D112" s="169"/>
      <c r="E112" s="172"/>
      <c r="F112" s="164"/>
      <c r="G112" s="164"/>
      <c r="H112" s="409"/>
      <c r="I112" s="164"/>
    </row>
    <row r="113" spans="1:9" ht="15.75" customHeight="1" x14ac:dyDescent="0.2">
      <c r="A113" s="164"/>
      <c r="B113" s="170"/>
      <c r="C113" s="170"/>
      <c r="D113" s="169"/>
      <c r="E113" s="172"/>
      <c r="F113" s="164"/>
      <c r="G113" s="164"/>
      <c r="H113" s="409"/>
      <c r="I113" s="164"/>
    </row>
    <row r="114" spans="1:9" ht="15.75" customHeight="1" x14ac:dyDescent="0.2">
      <c r="A114" s="164"/>
      <c r="B114" s="170"/>
      <c r="C114" s="170"/>
      <c r="D114" s="169"/>
      <c r="E114" s="172"/>
      <c r="F114" s="164"/>
      <c r="G114" s="164"/>
      <c r="H114" s="409"/>
      <c r="I114" s="164"/>
    </row>
    <row r="115" spans="1:9" ht="15.75" customHeight="1" x14ac:dyDescent="0.2">
      <c r="A115" s="164"/>
      <c r="B115" s="170"/>
      <c r="C115" s="170"/>
      <c r="D115" s="169"/>
      <c r="E115" s="172"/>
      <c r="F115" s="164"/>
      <c r="G115" s="164"/>
      <c r="H115" s="409"/>
      <c r="I115" s="164"/>
    </row>
    <row r="116" spans="1:9" ht="15.75" customHeight="1" x14ac:dyDescent="0.2">
      <c r="A116" s="164"/>
      <c r="B116" s="170"/>
      <c r="C116" s="170"/>
      <c r="D116" s="169"/>
      <c r="E116" s="172"/>
      <c r="F116" s="164"/>
      <c r="G116" s="164"/>
      <c r="H116" s="409"/>
      <c r="I116" s="164"/>
    </row>
    <row r="117" spans="1:9" ht="15.75" customHeight="1" x14ac:dyDescent="0.2">
      <c r="A117" s="164"/>
      <c r="B117" s="170"/>
      <c r="C117" s="170"/>
      <c r="D117" s="169"/>
      <c r="E117" s="172"/>
      <c r="F117" s="164"/>
      <c r="G117" s="164"/>
      <c r="H117" s="409"/>
      <c r="I117" s="164"/>
    </row>
    <row r="118" spans="1:9" ht="15.75" customHeight="1" x14ac:dyDescent="0.2">
      <c r="A118" s="164"/>
      <c r="B118" s="170"/>
      <c r="C118" s="170"/>
      <c r="D118" s="169"/>
      <c r="E118" s="172"/>
      <c r="F118" s="164"/>
      <c r="G118" s="164"/>
      <c r="H118" s="409"/>
      <c r="I118" s="164"/>
    </row>
    <row r="119" spans="1:9" ht="15.75" customHeight="1" x14ac:dyDescent="0.2">
      <c r="A119" s="164"/>
      <c r="B119" s="170"/>
      <c r="C119" s="170"/>
      <c r="D119" s="169"/>
      <c r="E119" s="172"/>
      <c r="F119" s="164"/>
      <c r="G119" s="164"/>
      <c r="H119" s="409"/>
      <c r="I119" s="164"/>
    </row>
    <row r="120" spans="1:9" ht="15.75" customHeight="1" x14ac:dyDescent="0.2">
      <c r="A120" s="164"/>
      <c r="B120" s="170"/>
      <c r="C120" s="170"/>
      <c r="D120" s="169"/>
      <c r="E120" s="172"/>
      <c r="F120" s="164"/>
      <c r="G120" s="164"/>
      <c r="H120" s="409"/>
      <c r="I120" s="164"/>
    </row>
    <row r="121" spans="1:9" ht="15.75" customHeight="1" x14ac:dyDescent="0.2">
      <c r="A121" s="164"/>
      <c r="B121" s="170"/>
      <c r="C121" s="170"/>
      <c r="D121" s="169"/>
      <c r="E121" s="172"/>
      <c r="F121" s="164"/>
      <c r="G121" s="164"/>
      <c r="H121" s="409"/>
      <c r="I121" s="164"/>
    </row>
    <row r="122" spans="1:9" ht="15.75" customHeight="1" x14ac:dyDescent="0.2">
      <c r="A122" s="164"/>
      <c r="B122" s="170"/>
      <c r="C122" s="170"/>
      <c r="D122" s="169"/>
      <c r="E122" s="172"/>
      <c r="F122" s="164"/>
      <c r="G122" s="164"/>
      <c r="H122" s="409"/>
      <c r="I122" s="164"/>
    </row>
    <row r="123" spans="1:9" ht="15.75" customHeight="1" x14ac:dyDescent="0.2">
      <c r="A123" s="164"/>
      <c r="B123" s="170"/>
      <c r="C123" s="170"/>
      <c r="D123" s="169"/>
      <c r="E123" s="172"/>
      <c r="F123" s="164"/>
      <c r="G123" s="164"/>
      <c r="H123" s="409"/>
      <c r="I123" s="164"/>
    </row>
    <row r="124" spans="1:9" ht="15.75" customHeight="1" x14ac:dyDescent="0.2">
      <c r="A124" s="164"/>
      <c r="B124" s="170"/>
      <c r="C124" s="170"/>
      <c r="D124" s="169"/>
      <c r="E124" s="172"/>
      <c r="F124" s="164"/>
      <c r="G124" s="164"/>
      <c r="H124" s="409"/>
      <c r="I124" s="164"/>
    </row>
    <row r="125" spans="1:9" ht="15.75" customHeight="1" x14ac:dyDescent="0.2">
      <c r="A125" s="164"/>
      <c r="B125" s="170"/>
      <c r="C125" s="170"/>
      <c r="D125" s="169"/>
      <c r="E125" s="172"/>
      <c r="F125" s="164"/>
      <c r="G125" s="164"/>
      <c r="H125" s="409"/>
      <c r="I125" s="164"/>
    </row>
    <row r="126" spans="1:9" ht="15.75" customHeight="1" x14ac:dyDescent="0.2">
      <c r="A126" s="164"/>
      <c r="B126" s="170"/>
      <c r="C126" s="170"/>
      <c r="D126" s="169"/>
      <c r="E126" s="172"/>
      <c r="F126" s="164"/>
      <c r="G126" s="164"/>
      <c r="H126" s="409"/>
      <c r="I126" s="164"/>
    </row>
    <row r="127" spans="1:9" ht="15.75" customHeight="1" x14ac:dyDescent="0.2">
      <c r="A127" s="164"/>
      <c r="B127" s="170"/>
      <c r="C127" s="170"/>
      <c r="D127" s="169"/>
      <c r="E127" s="172"/>
      <c r="F127" s="164"/>
      <c r="G127" s="164"/>
      <c r="H127" s="409"/>
      <c r="I127" s="164"/>
    </row>
    <row r="128" spans="1:9" ht="15.75" customHeight="1" x14ac:dyDescent="0.2">
      <c r="A128" s="164"/>
      <c r="B128" s="170"/>
      <c r="C128" s="170"/>
      <c r="D128" s="169"/>
      <c r="E128" s="172"/>
      <c r="F128" s="164"/>
      <c r="G128" s="164"/>
      <c r="H128" s="409"/>
      <c r="I128" s="164"/>
    </row>
    <row r="129" spans="1:9" ht="15.75" customHeight="1" x14ac:dyDescent="0.2">
      <c r="A129" s="164"/>
      <c r="B129" s="170"/>
      <c r="C129" s="170"/>
      <c r="D129" s="169"/>
      <c r="E129" s="172"/>
      <c r="F129" s="164"/>
      <c r="G129" s="164"/>
      <c r="H129" s="409"/>
      <c r="I129" s="164"/>
    </row>
    <row r="130" spans="1:9" ht="15.75" customHeight="1" x14ac:dyDescent="0.2">
      <c r="A130" s="164"/>
      <c r="B130" s="170"/>
      <c r="C130" s="170"/>
      <c r="D130" s="169"/>
      <c r="E130" s="172"/>
      <c r="F130" s="164"/>
      <c r="G130" s="164"/>
      <c r="H130" s="409"/>
      <c r="I130" s="164"/>
    </row>
    <row r="131" spans="1:9" ht="15.75" customHeight="1" x14ac:dyDescent="0.2">
      <c r="A131" s="164"/>
      <c r="B131" s="170"/>
      <c r="C131" s="170"/>
      <c r="D131" s="169"/>
      <c r="E131" s="172"/>
      <c r="F131" s="164"/>
      <c r="G131" s="164"/>
      <c r="H131" s="409"/>
      <c r="I131" s="164"/>
    </row>
    <row r="132" spans="1:9" ht="15.75" customHeight="1" x14ac:dyDescent="0.2">
      <c r="A132" s="164"/>
      <c r="B132" s="170"/>
      <c r="C132" s="170"/>
      <c r="D132" s="169"/>
      <c r="E132" s="172"/>
      <c r="F132" s="164"/>
      <c r="G132" s="164"/>
      <c r="H132" s="409"/>
      <c r="I132" s="164"/>
    </row>
    <row r="133" spans="1:9" ht="15.75" customHeight="1" x14ac:dyDescent="0.2">
      <c r="A133" s="164"/>
      <c r="B133" s="170"/>
      <c r="C133" s="170"/>
      <c r="D133" s="169"/>
      <c r="E133" s="172"/>
      <c r="F133" s="164"/>
      <c r="G133" s="164"/>
      <c r="H133" s="409"/>
      <c r="I133" s="164"/>
    </row>
    <row r="134" spans="1:9" ht="15.75" customHeight="1" x14ac:dyDescent="0.2">
      <c r="A134" s="164"/>
      <c r="B134" s="170"/>
      <c r="C134" s="170"/>
      <c r="D134" s="169"/>
      <c r="E134" s="172"/>
      <c r="F134" s="164"/>
      <c r="G134" s="164"/>
      <c r="H134" s="409"/>
      <c r="I134" s="164"/>
    </row>
    <row r="135" spans="1:9" ht="15.75" customHeight="1" x14ac:dyDescent="0.2">
      <c r="A135" s="164"/>
      <c r="B135" s="170"/>
      <c r="C135" s="170"/>
      <c r="D135" s="169"/>
      <c r="E135" s="172"/>
      <c r="F135" s="164"/>
      <c r="G135" s="164"/>
      <c r="H135" s="409"/>
      <c r="I135" s="164"/>
    </row>
    <row r="136" spans="1:9" ht="15.75" customHeight="1" x14ac:dyDescent="0.2">
      <c r="A136" s="164"/>
      <c r="B136" s="170"/>
      <c r="C136" s="170"/>
      <c r="D136" s="169"/>
      <c r="E136" s="172"/>
      <c r="F136" s="164"/>
      <c r="G136" s="164"/>
      <c r="H136" s="409"/>
      <c r="I136" s="164"/>
    </row>
    <row r="137" spans="1:9" ht="15.75" customHeight="1" x14ac:dyDescent="0.2">
      <c r="A137" s="164"/>
      <c r="B137" s="170"/>
      <c r="C137" s="170"/>
      <c r="D137" s="169"/>
      <c r="E137" s="172"/>
      <c r="F137" s="164"/>
      <c r="G137" s="164"/>
      <c r="H137" s="409"/>
      <c r="I137" s="164"/>
    </row>
    <row r="138" spans="1:9" ht="15.75" customHeight="1" x14ac:dyDescent="0.2">
      <c r="A138" s="164"/>
      <c r="B138" s="170"/>
      <c r="C138" s="170"/>
      <c r="D138" s="169"/>
      <c r="E138" s="172"/>
      <c r="F138" s="164"/>
      <c r="G138" s="164"/>
      <c r="H138" s="409"/>
      <c r="I138" s="164"/>
    </row>
    <row r="139" spans="1:9" ht="15.75" customHeight="1" x14ac:dyDescent="0.2">
      <c r="A139" s="164"/>
      <c r="B139" s="170"/>
      <c r="C139" s="170"/>
      <c r="D139" s="169"/>
      <c r="E139" s="172"/>
      <c r="F139" s="164"/>
      <c r="G139" s="164"/>
      <c r="H139" s="409"/>
      <c r="I139" s="164"/>
    </row>
    <row r="140" spans="1:9" ht="15.75" customHeight="1" x14ac:dyDescent="0.2">
      <c r="A140" s="164"/>
      <c r="B140" s="170"/>
      <c r="C140" s="170"/>
      <c r="D140" s="169"/>
      <c r="E140" s="172"/>
      <c r="F140" s="164"/>
      <c r="G140" s="164"/>
      <c r="H140" s="409"/>
      <c r="I140" s="164"/>
    </row>
    <row r="141" spans="1:9" ht="15.75" customHeight="1" x14ac:dyDescent="0.2">
      <c r="A141" s="164"/>
      <c r="B141" s="170"/>
      <c r="C141" s="170"/>
      <c r="D141" s="169"/>
      <c r="E141" s="172"/>
      <c r="F141" s="164"/>
      <c r="G141" s="164"/>
      <c r="H141" s="409"/>
      <c r="I141" s="164"/>
    </row>
    <row r="142" spans="1:9" ht="15.75" customHeight="1" x14ac:dyDescent="0.2">
      <c r="A142" s="164"/>
      <c r="B142" s="170"/>
      <c r="C142" s="170"/>
      <c r="D142" s="169"/>
      <c r="E142" s="172"/>
      <c r="F142" s="164"/>
      <c r="G142" s="164"/>
      <c r="H142" s="409"/>
      <c r="I142" s="164"/>
    </row>
    <row r="143" spans="1:9" ht="15.75" customHeight="1" x14ac:dyDescent="0.2">
      <c r="A143" s="164"/>
      <c r="B143" s="170"/>
      <c r="C143" s="170"/>
      <c r="D143" s="169"/>
      <c r="E143" s="172"/>
      <c r="F143" s="164"/>
      <c r="G143" s="164"/>
      <c r="H143" s="409"/>
      <c r="I143" s="164"/>
    </row>
    <row r="144" spans="1:9" ht="15.75" customHeight="1" x14ac:dyDescent="0.2">
      <c r="A144" s="164"/>
      <c r="B144" s="170"/>
      <c r="C144" s="170"/>
      <c r="D144" s="169"/>
      <c r="E144" s="172"/>
      <c r="F144" s="164"/>
      <c r="G144" s="164"/>
      <c r="H144" s="409"/>
      <c r="I144" s="164"/>
    </row>
    <row r="145" spans="1:9" ht="15.75" customHeight="1" x14ac:dyDescent="0.2">
      <c r="A145" s="164"/>
      <c r="B145" s="170"/>
      <c r="C145" s="170"/>
      <c r="D145" s="169"/>
      <c r="E145" s="172"/>
      <c r="F145" s="164"/>
      <c r="G145" s="164"/>
      <c r="H145" s="409"/>
      <c r="I145" s="164"/>
    </row>
    <row r="146" spans="1:9" ht="15.75" customHeight="1" x14ac:dyDescent="0.2">
      <c r="A146" s="164"/>
      <c r="B146" s="170"/>
      <c r="C146" s="170"/>
      <c r="D146" s="169"/>
      <c r="E146" s="172"/>
      <c r="F146" s="164"/>
      <c r="G146" s="164"/>
      <c r="H146" s="409"/>
      <c r="I146" s="164"/>
    </row>
    <row r="147" spans="1:9" ht="15.75" customHeight="1" x14ac:dyDescent="0.2">
      <c r="A147" s="164"/>
      <c r="B147" s="170"/>
      <c r="C147" s="170"/>
      <c r="D147" s="169"/>
      <c r="E147" s="172"/>
      <c r="F147" s="164"/>
      <c r="G147" s="164"/>
      <c r="H147" s="409"/>
      <c r="I147" s="164"/>
    </row>
    <row r="148" spans="1:9" ht="15.75" customHeight="1" x14ac:dyDescent="0.2">
      <c r="A148" s="164"/>
      <c r="B148" s="170"/>
      <c r="C148" s="170"/>
      <c r="D148" s="169"/>
      <c r="E148" s="172"/>
      <c r="F148" s="164"/>
      <c r="G148" s="164"/>
      <c r="H148" s="409"/>
      <c r="I148" s="164"/>
    </row>
    <row r="149" spans="1:9" ht="15.75" customHeight="1" x14ac:dyDescent="0.2">
      <c r="A149" s="164"/>
      <c r="B149" s="170"/>
      <c r="C149" s="170"/>
      <c r="D149" s="169"/>
      <c r="E149" s="172"/>
      <c r="F149" s="164"/>
      <c r="G149" s="164"/>
      <c r="H149" s="409"/>
      <c r="I149" s="164"/>
    </row>
    <row r="150" spans="1:9" ht="15.75" customHeight="1" x14ac:dyDescent="0.2">
      <c r="A150" s="164"/>
      <c r="B150" s="170"/>
      <c r="C150" s="170"/>
      <c r="D150" s="169"/>
      <c r="E150" s="172"/>
      <c r="F150" s="164"/>
      <c r="G150" s="164"/>
      <c r="H150" s="409"/>
      <c r="I150" s="164"/>
    </row>
    <row r="151" spans="1:9" ht="15.75" customHeight="1" x14ac:dyDescent="0.2">
      <c r="A151" s="164"/>
      <c r="B151" s="170"/>
      <c r="C151" s="170"/>
      <c r="D151" s="169"/>
      <c r="E151" s="172"/>
      <c r="F151" s="164"/>
      <c r="G151" s="164"/>
      <c r="H151" s="409"/>
      <c r="I151" s="164"/>
    </row>
    <row r="152" spans="1:9" ht="15.75" customHeight="1" x14ac:dyDescent="0.2">
      <c r="A152" s="164"/>
      <c r="B152" s="170"/>
      <c r="C152" s="170"/>
      <c r="D152" s="169"/>
      <c r="E152" s="172"/>
      <c r="F152" s="164"/>
      <c r="G152" s="164"/>
      <c r="H152" s="409"/>
      <c r="I152" s="164"/>
    </row>
    <row r="153" spans="1:9" ht="15.75" customHeight="1" x14ac:dyDescent="0.2">
      <c r="A153" s="164"/>
      <c r="B153" s="170"/>
      <c r="C153" s="170"/>
      <c r="D153" s="169"/>
      <c r="E153" s="172"/>
      <c r="F153" s="164"/>
      <c r="G153" s="164"/>
      <c r="H153" s="409"/>
      <c r="I153" s="164"/>
    </row>
    <row r="154" spans="1:9" ht="15.75" customHeight="1" x14ac:dyDescent="0.2">
      <c r="A154" s="164"/>
      <c r="B154" s="170"/>
      <c r="C154" s="170"/>
      <c r="D154" s="169"/>
      <c r="E154" s="172"/>
      <c r="F154" s="164"/>
      <c r="G154" s="164"/>
      <c r="H154" s="409"/>
      <c r="I154" s="164"/>
    </row>
    <row r="155" spans="1:9" ht="15.75" customHeight="1" x14ac:dyDescent="0.2">
      <c r="A155" s="164"/>
      <c r="B155" s="170"/>
      <c r="C155" s="170"/>
      <c r="D155" s="169"/>
      <c r="E155" s="172"/>
      <c r="F155" s="164"/>
      <c r="G155" s="164"/>
      <c r="H155" s="409"/>
      <c r="I155" s="164"/>
    </row>
    <row r="156" spans="1:9" ht="15.75" customHeight="1" x14ac:dyDescent="0.2">
      <c r="A156" s="164"/>
      <c r="B156" s="170"/>
      <c r="C156" s="170"/>
      <c r="D156" s="169"/>
      <c r="E156" s="172"/>
      <c r="F156" s="164"/>
      <c r="G156" s="164"/>
      <c r="H156" s="409"/>
      <c r="I156" s="164"/>
    </row>
    <row r="157" spans="1:9" ht="15.75" customHeight="1" x14ac:dyDescent="0.2">
      <c r="A157" s="164"/>
      <c r="B157" s="170"/>
      <c r="C157" s="170"/>
      <c r="D157" s="169"/>
      <c r="E157" s="172"/>
      <c r="F157" s="164"/>
      <c r="G157" s="164"/>
      <c r="H157" s="409"/>
      <c r="I157" s="164"/>
    </row>
    <row r="158" spans="1:9" ht="15.75" customHeight="1" x14ac:dyDescent="0.2">
      <c r="A158" s="164"/>
      <c r="B158" s="170"/>
      <c r="C158" s="170"/>
      <c r="D158" s="169"/>
      <c r="E158" s="172"/>
      <c r="F158" s="164"/>
      <c r="G158" s="164"/>
      <c r="H158" s="409"/>
      <c r="I158" s="164"/>
    </row>
    <row r="159" spans="1:9" ht="15.75" customHeight="1" x14ac:dyDescent="0.2">
      <c r="A159" s="164"/>
      <c r="B159" s="170"/>
      <c r="C159" s="170"/>
      <c r="D159" s="169"/>
      <c r="E159" s="172"/>
      <c r="F159" s="164"/>
      <c r="G159" s="164"/>
      <c r="H159" s="409"/>
      <c r="I159" s="164"/>
    </row>
    <row r="160" spans="1:9" ht="15.75" customHeight="1" x14ac:dyDescent="0.2">
      <c r="A160" s="164"/>
      <c r="B160" s="170"/>
      <c r="C160" s="170"/>
      <c r="D160" s="169"/>
      <c r="E160" s="172"/>
      <c r="F160" s="164"/>
      <c r="G160" s="164"/>
      <c r="H160" s="409"/>
      <c r="I160" s="164"/>
    </row>
    <row r="161" spans="1:9" ht="15.75" customHeight="1" x14ac:dyDescent="0.2">
      <c r="A161" s="164"/>
      <c r="B161" s="170"/>
      <c r="C161" s="170"/>
      <c r="D161" s="169"/>
      <c r="E161" s="172"/>
      <c r="F161" s="164"/>
      <c r="G161" s="164"/>
      <c r="H161" s="409"/>
      <c r="I161" s="164"/>
    </row>
    <row r="162" spans="1:9" ht="15.75" customHeight="1" x14ac:dyDescent="0.2">
      <c r="A162" s="164"/>
      <c r="B162" s="170"/>
      <c r="C162" s="170"/>
      <c r="D162" s="169"/>
      <c r="E162" s="172"/>
      <c r="F162" s="164"/>
      <c r="G162" s="164"/>
      <c r="H162" s="409"/>
      <c r="I162" s="164"/>
    </row>
    <row r="163" spans="1:9" ht="15.75" customHeight="1" x14ac:dyDescent="0.2">
      <c r="A163" s="164"/>
      <c r="B163" s="170"/>
      <c r="C163" s="170"/>
      <c r="D163" s="169"/>
      <c r="E163" s="172"/>
      <c r="F163" s="164"/>
      <c r="G163" s="164"/>
      <c r="H163" s="409"/>
      <c r="I163" s="164"/>
    </row>
    <row r="164" spans="1:9" ht="15.75" customHeight="1" x14ac:dyDescent="0.2">
      <c r="A164" s="164"/>
      <c r="B164" s="170"/>
      <c r="C164" s="170"/>
      <c r="D164" s="169"/>
      <c r="E164" s="172"/>
      <c r="F164" s="164"/>
      <c r="G164" s="164"/>
      <c r="H164" s="409"/>
      <c r="I164" s="164"/>
    </row>
    <row r="165" spans="1:9" ht="15.75" customHeight="1" x14ac:dyDescent="0.2">
      <c r="A165" s="164"/>
      <c r="B165" s="170"/>
      <c r="C165" s="170"/>
      <c r="D165" s="169"/>
      <c r="E165" s="172"/>
      <c r="F165" s="164"/>
      <c r="G165" s="164"/>
      <c r="H165" s="409"/>
      <c r="I165" s="164"/>
    </row>
    <row r="166" spans="1:9" ht="15.75" customHeight="1" x14ac:dyDescent="0.2">
      <c r="A166" s="164"/>
      <c r="B166" s="170"/>
      <c r="C166" s="170"/>
      <c r="D166" s="169"/>
      <c r="E166" s="172"/>
      <c r="F166" s="164"/>
      <c r="G166" s="164"/>
      <c r="H166" s="409"/>
      <c r="I166" s="164"/>
    </row>
    <row r="167" spans="1:9" ht="15.75" customHeight="1" x14ac:dyDescent="0.2">
      <c r="A167" s="164"/>
      <c r="B167" s="170"/>
      <c r="C167" s="170"/>
      <c r="D167" s="169"/>
      <c r="E167" s="172"/>
      <c r="F167" s="164"/>
      <c r="G167" s="164"/>
      <c r="H167" s="409"/>
      <c r="I167" s="164"/>
    </row>
    <row r="168" spans="1:9" ht="15.75" customHeight="1" x14ac:dyDescent="0.2">
      <c r="A168" s="164"/>
      <c r="B168" s="170"/>
      <c r="C168" s="170"/>
      <c r="D168" s="169"/>
      <c r="E168" s="172"/>
      <c r="F168" s="164"/>
      <c r="G168" s="164"/>
      <c r="H168" s="409"/>
      <c r="I168" s="164"/>
    </row>
    <row r="169" spans="1:9" ht="15.75" customHeight="1" x14ac:dyDescent="0.2">
      <c r="A169" s="164"/>
      <c r="B169" s="170"/>
      <c r="C169" s="170"/>
      <c r="D169" s="169"/>
      <c r="E169" s="172"/>
      <c r="F169" s="164"/>
      <c r="G169" s="164"/>
      <c r="H169" s="409"/>
      <c r="I169" s="164"/>
    </row>
    <row r="170" spans="1:9" ht="15.75" customHeight="1" x14ac:dyDescent="0.2">
      <c r="A170" s="164"/>
      <c r="B170" s="170"/>
      <c r="C170" s="170"/>
      <c r="D170" s="169"/>
      <c r="E170" s="172"/>
      <c r="F170" s="164"/>
      <c r="G170" s="164"/>
      <c r="H170" s="409"/>
      <c r="I170" s="164"/>
    </row>
    <row r="171" spans="1:9" ht="15.75" customHeight="1" x14ac:dyDescent="0.2">
      <c r="A171" s="164"/>
      <c r="B171" s="170"/>
      <c r="C171" s="170"/>
      <c r="D171" s="169"/>
      <c r="E171" s="172"/>
      <c r="F171" s="164"/>
      <c r="G171" s="164"/>
      <c r="H171" s="409"/>
      <c r="I171" s="164"/>
    </row>
    <row r="172" spans="1:9" ht="15.75" customHeight="1" x14ac:dyDescent="0.2">
      <c r="A172" s="164"/>
      <c r="B172" s="170"/>
      <c r="C172" s="170"/>
      <c r="D172" s="169"/>
      <c r="E172" s="172"/>
      <c r="F172" s="164"/>
      <c r="G172" s="164"/>
      <c r="H172" s="409"/>
      <c r="I172" s="164"/>
    </row>
    <row r="173" spans="1:9" ht="15.75" customHeight="1" x14ac:dyDescent="0.2">
      <c r="A173" s="164"/>
      <c r="B173" s="170"/>
      <c r="C173" s="170"/>
      <c r="D173" s="169"/>
      <c r="E173" s="172"/>
      <c r="F173" s="164"/>
      <c r="G173" s="164"/>
      <c r="H173" s="409"/>
      <c r="I173" s="164"/>
    </row>
    <row r="174" spans="1:9" ht="15.75" customHeight="1" x14ac:dyDescent="0.2">
      <c r="A174" s="164"/>
      <c r="B174" s="170"/>
      <c r="C174" s="170"/>
      <c r="D174" s="169"/>
      <c r="E174" s="172"/>
      <c r="F174" s="164"/>
      <c r="G174" s="164"/>
      <c r="H174" s="409"/>
      <c r="I174" s="164"/>
    </row>
    <row r="175" spans="1:9" ht="15.75" customHeight="1" x14ac:dyDescent="0.2">
      <c r="A175" s="164"/>
      <c r="B175" s="170"/>
      <c r="C175" s="170"/>
      <c r="D175" s="169"/>
      <c r="E175" s="172"/>
      <c r="F175" s="164"/>
      <c r="G175" s="164"/>
      <c r="H175" s="409"/>
      <c r="I175" s="164"/>
    </row>
    <row r="176" spans="1:9" ht="15.75" customHeight="1" x14ac:dyDescent="0.2">
      <c r="A176" s="164"/>
      <c r="B176" s="170"/>
      <c r="C176" s="170"/>
      <c r="D176" s="169"/>
      <c r="E176" s="172"/>
      <c r="F176" s="164"/>
      <c r="G176" s="164"/>
      <c r="H176" s="409"/>
      <c r="I176" s="164"/>
    </row>
    <row r="177" spans="1:9" ht="15.75" customHeight="1" x14ac:dyDescent="0.2">
      <c r="A177" s="164"/>
      <c r="B177" s="170"/>
      <c r="C177" s="170"/>
      <c r="D177" s="169"/>
      <c r="E177" s="172"/>
      <c r="F177" s="164"/>
      <c r="G177" s="164"/>
      <c r="H177" s="409"/>
      <c r="I177" s="164"/>
    </row>
    <row r="178" spans="1:9" ht="15.75" customHeight="1" x14ac:dyDescent="0.2">
      <c r="A178" s="164"/>
      <c r="B178" s="170"/>
      <c r="C178" s="170"/>
      <c r="D178" s="169"/>
      <c r="E178" s="172"/>
      <c r="F178" s="164"/>
      <c r="G178" s="164"/>
      <c r="H178" s="409"/>
      <c r="I178" s="164"/>
    </row>
    <row r="179" spans="1:9" ht="15.75" customHeight="1" x14ac:dyDescent="0.2">
      <c r="A179" s="164"/>
      <c r="B179" s="170"/>
      <c r="C179" s="170"/>
      <c r="D179" s="169"/>
      <c r="E179" s="172"/>
      <c r="F179" s="164"/>
      <c r="G179" s="164"/>
      <c r="H179" s="409"/>
      <c r="I179" s="164"/>
    </row>
    <row r="180" spans="1:9" ht="15.75" customHeight="1" x14ac:dyDescent="0.2">
      <c r="A180" s="164"/>
      <c r="B180" s="170"/>
      <c r="C180" s="170"/>
      <c r="D180" s="169"/>
      <c r="E180" s="172"/>
      <c r="F180" s="164"/>
      <c r="G180" s="164"/>
      <c r="H180" s="409"/>
      <c r="I180" s="164"/>
    </row>
    <row r="181" spans="1:9" ht="15.75" customHeight="1" x14ac:dyDescent="0.2">
      <c r="A181" s="164"/>
      <c r="B181" s="170"/>
      <c r="C181" s="170"/>
      <c r="D181" s="169"/>
      <c r="E181" s="172"/>
      <c r="F181" s="164"/>
      <c r="G181" s="164"/>
      <c r="H181" s="409"/>
      <c r="I181" s="164"/>
    </row>
    <row r="182" spans="1:9" ht="15.75" customHeight="1" x14ac:dyDescent="0.2">
      <c r="A182" s="164"/>
      <c r="B182" s="170"/>
      <c r="C182" s="170"/>
      <c r="D182" s="169"/>
      <c r="E182" s="172"/>
      <c r="F182" s="164"/>
      <c r="G182" s="164"/>
      <c r="H182" s="409"/>
      <c r="I182" s="164"/>
    </row>
    <row r="183" spans="1:9" ht="15.75" customHeight="1" x14ac:dyDescent="0.2">
      <c r="A183" s="164"/>
      <c r="B183" s="170"/>
      <c r="C183" s="170"/>
      <c r="D183" s="169"/>
      <c r="E183" s="172"/>
      <c r="F183" s="164"/>
      <c r="G183" s="164"/>
      <c r="H183" s="409"/>
      <c r="I183" s="164"/>
    </row>
    <row r="184" spans="1:9" ht="15.75" customHeight="1" x14ac:dyDescent="0.2">
      <c r="A184" s="164"/>
      <c r="B184" s="170"/>
      <c r="C184" s="170"/>
      <c r="D184" s="169"/>
      <c r="E184" s="172"/>
      <c r="F184" s="164"/>
      <c r="G184" s="164"/>
      <c r="H184" s="409"/>
      <c r="I184" s="164"/>
    </row>
    <row r="185" spans="1:9" ht="15.75" customHeight="1" x14ac:dyDescent="0.2">
      <c r="A185" s="164"/>
      <c r="B185" s="170"/>
      <c r="C185" s="170"/>
      <c r="D185" s="169"/>
      <c r="E185" s="172"/>
      <c r="F185" s="164"/>
      <c r="G185" s="164"/>
      <c r="H185" s="409"/>
      <c r="I185" s="164"/>
    </row>
    <row r="186" spans="1:9" ht="15.75" customHeight="1" x14ac:dyDescent="0.2">
      <c r="A186" s="164"/>
      <c r="B186" s="170"/>
      <c r="C186" s="170"/>
      <c r="D186" s="169"/>
      <c r="E186" s="172"/>
      <c r="F186" s="164"/>
      <c r="G186" s="164"/>
      <c r="H186" s="409"/>
      <c r="I186" s="164"/>
    </row>
    <row r="187" spans="1:9" ht="15.75" customHeight="1" x14ac:dyDescent="0.2">
      <c r="A187" s="164"/>
      <c r="B187" s="170"/>
      <c r="C187" s="170"/>
      <c r="D187" s="169"/>
      <c r="E187" s="172"/>
      <c r="F187" s="164"/>
      <c r="G187" s="164"/>
      <c r="H187" s="409"/>
      <c r="I187" s="164"/>
    </row>
    <row r="188" spans="1:9" ht="15.75" customHeight="1" x14ac:dyDescent="0.2">
      <c r="A188" s="164"/>
      <c r="B188" s="170"/>
      <c r="C188" s="170"/>
      <c r="D188" s="169"/>
      <c r="E188" s="172"/>
      <c r="F188" s="164"/>
      <c r="G188" s="164"/>
      <c r="H188" s="409"/>
      <c r="I188" s="164"/>
    </row>
    <row r="189" spans="1:9" ht="15.75" customHeight="1" x14ac:dyDescent="0.2">
      <c r="A189" s="164"/>
      <c r="B189" s="170"/>
      <c r="C189" s="170"/>
      <c r="D189" s="169"/>
      <c r="E189" s="172"/>
      <c r="F189" s="164"/>
      <c r="G189" s="164"/>
      <c r="H189" s="409"/>
      <c r="I189" s="164"/>
    </row>
    <row r="190" spans="1:9" ht="15.75" customHeight="1" x14ac:dyDescent="0.2">
      <c r="A190" s="164"/>
      <c r="B190" s="170"/>
      <c r="C190" s="170"/>
      <c r="D190" s="169"/>
      <c r="E190" s="172"/>
      <c r="F190" s="164"/>
      <c r="G190" s="164"/>
      <c r="H190" s="409"/>
      <c r="I190" s="164"/>
    </row>
    <row r="191" spans="1:9" ht="15.75" customHeight="1" x14ac:dyDescent="0.2">
      <c r="A191" s="164"/>
      <c r="B191" s="170"/>
      <c r="C191" s="170"/>
      <c r="D191" s="169"/>
      <c r="E191" s="172"/>
      <c r="F191" s="164"/>
      <c r="G191" s="164"/>
      <c r="H191" s="409"/>
      <c r="I191" s="164"/>
    </row>
    <row r="192" spans="1:9" ht="15.75" customHeight="1" x14ac:dyDescent="0.2">
      <c r="A192" s="164"/>
      <c r="B192" s="170"/>
      <c r="C192" s="170"/>
      <c r="D192" s="169"/>
      <c r="E192" s="172"/>
      <c r="F192" s="164"/>
      <c r="G192" s="164"/>
      <c r="H192" s="409"/>
      <c r="I192" s="164"/>
    </row>
    <row r="193" spans="1:9" ht="15.75" customHeight="1" x14ac:dyDescent="0.2">
      <c r="A193" s="164"/>
      <c r="B193" s="170"/>
      <c r="C193" s="170"/>
      <c r="D193" s="169"/>
      <c r="E193" s="172"/>
      <c r="F193" s="164"/>
      <c r="G193" s="164"/>
      <c r="H193" s="409"/>
      <c r="I193" s="164"/>
    </row>
    <row r="194" spans="1:9" ht="15.75" customHeight="1" x14ac:dyDescent="0.2">
      <c r="A194" s="164"/>
      <c r="B194" s="170"/>
      <c r="C194" s="170"/>
      <c r="D194" s="169"/>
      <c r="E194" s="172"/>
      <c r="F194" s="164"/>
      <c r="G194" s="164"/>
      <c r="H194" s="409"/>
      <c r="I194" s="164"/>
    </row>
    <row r="195" spans="1:9" ht="15.75" customHeight="1" x14ac:dyDescent="0.2">
      <c r="A195" s="164"/>
      <c r="B195" s="170"/>
      <c r="C195" s="170"/>
      <c r="D195" s="169"/>
      <c r="E195" s="172"/>
      <c r="F195" s="164"/>
      <c r="G195" s="164"/>
      <c r="H195" s="409"/>
      <c r="I195" s="164"/>
    </row>
    <row r="196" spans="1:9" ht="15.75" customHeight="1" x14ac:dyDescent="0.2">
      <c r="A196" s="164"/>
      <c r="B196" s="170"/>
      <c r="C196" s="170"/>
      <c r="D196" s="169"/>
      <c r="E196" s="172"/>
      <c r="F196" s="164"/>
      <c r="G196" s="164"/>
      <c r="H196" s="409"/>
      <c r="I196" s="164"/>
    </row>
    <row r="197" spans="1:9" ht="15.75" customHeight="1" x14ac:dyDescent="0.2">
      <c r="A197" s="164"/>
      <c r="B197" s="170"/>
      <c r="C197" s="170"/>
      <c r="D197" s="169"/>
      <c r="E197" s="172"/>
      <c r="F197" s="164"/>
      <c r="G197" s="164"/>
      <c r="H197" s="409"/>
      <c r="I197" s="164"/>
    </row>
    <row r="198" spans="1:9" ht="15.75" customHeight="1" x14ac:dyDescent="0.2">
      <c r="A198" s="164"/>
      <c r="B198" s="170"/>
      <c r="C198" s="170"/>
      <c r="D198" s="169"/>
      <c r="E198" s="172"/>
      <c r="F198" s="164"/>
      <c r="G198" s="164"/>
      <c r="H198" s="409"/>
      <c r="I198" s="164"/>
    </row>
    <row r="199" spans="1:9" ht="15.75" customHeight="1" x14ac:dyDescent="0.2">
      <c r="A199" s="164"/>
      <c r="B199" s="170"/>
      <c r="C199" s="170"/>
      <c r="D199" s="169"/>
      <c r="E199" s="172"/>
      <c r="F199" s="164"/>
      <c r="G199" s="164"/>
      <c r="H199" s="409"/>
      <c r="I199" s="164"/>
    </row>
    <row r="200" spans="1:9" ht="15.75" customHeight="1" x14ac:dyDescent="0.2">
      <c r="A200" s="164"/>
      <c r="B200" s="170"/>
      <c r="C200" s="170"/>
      <c r="D200" s="169"/>
      <c r="E200" s="172"/>
      <c r="F200" s="164"/>
      <c r="G200" s="164"/>
      <c r="H200" s="409"/>
      <c r="I200" s="164"/>
    </row>
    <row r="201" spans="1:9" ht="15.75" customHeight="1" x14ac:dyDescent="0.2">
      <c r="A201" s="164"/>
      <c r="B201" s="170"/>
      <c r="C201" s="170"/>
      <c r="D201" s="169"/>
      <c r="E201" s="172"/>
      <c r="F201" s="164"/>
      <c r="G201" s="164"/>
      <c r="H201" s="409"/>
      <c r="I201" s="164"/>
    </row>
    <row r="202" spans="1:9" ht="15.75" customHeight="1" x14ac:dyDescent="0.2">
      <c r="A202" s="164"/>
      <c r="B202" s="170"/>
      <c r="C202" s="170"/>
      <c r="D202" s="169"/>
      <c r="E202" s="172"/>
      <c r="F202" s="164"/>
      <c r="G202" s="164"/>
      <c r="H202" s="409"/>
      <c r="I202" s="164"/>
    </row>
    <row r="203" spans="1:9" ht="15.75" customHeight="1" x14ac:dyDescent="0.2">
      <c r="A203" s="164"/>
      <c r="B203" s="170"/>
      <c r="C203" s="170"/>
      <c r="D203" s="169"/>
      <c r="E203" s="172"/>
      <c r="F203" s="164"/>
      <c r="G203" s="164"/>
      <c r="H203" s="409"/>
      <c r="I203" s="164"/>
    </row>
    <row r="204" spans="1:9" ht="15.75" customHeight="1" x14ac:dyDescent="0.2">
      <c r="A204" s="164"/>
      <c r="B204" s="170"/>
      <c r="C204" s="170"/>
      <c r="D204" s="169"/>
      <c r="E204" s="172"/>
      <c r="F204" s="164"/>
      <c r="G204" s="164"/>
      <c r="H204" s="409"/>
      <c r="I204" s="164"/>
    </row>
    <row r="205" spans="1:9" ht="15.75" customHeight="1" x14ac:dyDescent="0.2">
      <c r="A205" s="164"/>
      <c r="B205" s="170"/>
      <c r="C205" s="170"/>
      <c r="D205" s="169"/>
      <c r="E205" s="172"/>
      <c r="F205" s="164"/>
      <c r="G205" s="164"/>
      <c r="H205" s="409"/>
      <c r="I205" s="164"/>
    </row>
    <row r="206" spans="1:9" ht="15.75" customHeight="1" x14ac:dyDescent="0.2">
      <c r="A206" s="164"/>
      <c r="B206" s="170"/>
      <c r="C206" s="170"/>
      <c r="D206" s="169"/>
      <c r="E206" s="172"/>
      <c r="F206" s="164"/>
      <c r="G206" s="164"/>
      <c r="H206" s="409"/>
      <c r="I206" s="164"/>
    </row>
    <row r="207" spans="1:9" ht="15.75" customHeight="1" x14ac:dyDescent="0.2">
      <c r="A207" s="164"/>
      <c r="B207" s="170"/>
      <c r="C207" s="170"/>
      <c r="D207" s="169"/>
      <c r="E207" s="172"/>
      <c r="F207" s="164"/>
      <c r="G207" s="164"/>
      <c r="H207" s="409"/>
      <c r="I207" s="164"/>
    </row>
    <row r="208" spans="1:9" ht="15.75" customHeight="1" x14ac:dyDescent="0.2">
      <c r="A208" s="164"/>
      <c r="B208" s="170"/>
      <c r="C208" s="170"/>
      <c r="D208" s="169"/>
      <c r="E208" s="172"/>
      <c r="F208" s="164"/>
      <c r="G208" s="164"/>
      <c r="H208" s="409"/>
      <c r="I208" s="164"/>
    </row>
    <row r="209" spans="1:9" ht="15.75" customHeight="1" x14ac:dyDescent="0.2">
      <c r="A209" s="164"/>
      <c r="B209" s="170"/>
      <c r="C209" s="170"/>
      <c r="D209" s="169"/>
      <c r="E209" s="172"/>
      <c r="F209" s="164"/>
      <c r="G209" s="164"/>
      <c r="H209" s="409"/>
      <c r="I209" s="164"/>
    </row>
    <row r="210" spans="1:9" ht="15.75" customHeight="1" x14ac:dyDescent="0.2">
      <c r="A210" s="164"/>
      <c r="B210" s="170"/>
      <c r="C210" s="170"/>
      <c r="D210" s="169"/>
      <c r="E210" s="172"/>
      <c r="F210" s="164"/>
      <c r="G210" s="164"/>
      <c r="H210" s="409"/>
      <c r="I210" s="164"/>
    </row>
    <row r="211" spans="1:9" ht="15.75" customHeight="1" x14ac:dyDescent="0.2">
      <c r="A211" s="164"/>
      <c r="B211" s="170"/>
      <c r="C211" s="170"/>
      <c r="D211" s="169"/>
      <c r="E211" s="172"/>
      <c r="F211" s="164"/>
      <c r="G211" s="164"/>
      <c r="H211" s="409"/>
      <c r="I211" s="164"/>
    </row>
    <row r="212" spans="1:9" ht="15.75" customHeight="1" x14ac:dyDescent="0.2">
      <c r="A212" s="164"/>
      <c r="B212" s="170"/>
      <c r="C212" s="170"/>
      <c r="D212" s="169"/>
      <c r="E212" s="172"/>
      <c r="F212" s="164"/>
      <c r="G212" s="164"/>
      <c r="H212" s="409"/>
      <c r="I212" s="164"/>
    </row>
    <row r="213" spans="1:9" ht="15.75" customHeight="1" x14ac:dyDescent="0.2">
      <c r="A213" s="164"/>
      <c r="B213" s="170"/>
      <c r="C213" s="170"/>
      <c r="D213" s="169"/>
      <c r="E213" s="172"/>
      <c r="F213" s="164"/>
      <c r="G213" s="164"/>
      <c r="H213" s="409"/>
      <c r="I213" s="164"/>
    </row>
    <row r="214" spans="1:9" ht="15.75" customHeight="1" x14ac:dyDescent="0.2">
      <c r="A214" s="164"/>
      <c r="B214" s="170"/>
      <c r="C214" s="170"/>
      <c r="D214" s="169"/>
      <c r="E214" s="172"/>
      <c r="F214" s="164"/>
      <c r="G214" s="164"/>
      <c r="H214" s="409"/>
      <c r="I214" s="164"/>
    </row>
    <row r="215" spans="1:9" ht="15.75" customHeight="1" x14ac:dyDescent="0.2">
      <c r="A215" s="164"/>
      <c r="B215" s="170"/>
      <c r="C215" s="170"/>
      <c r="D215" s="169"/>
      <c r="E215" s="172"/>
      <c r="F215" s="164"/>
      <c r="G215" s="164"/>
      <c r="H215" s="409"/>
      <c r="I215" s="164"/>
    </row>
    <row r="216" spans="1:9" ht="15.75" customHeight="1" x14ac:dyDescent="0.2">
      <c r="A216" s="164"/>
      <c r="B216" s="170"/>
      <c r="C216" s="170"/>
      <c r="D216" s="169"/>
      <c r="E216" s="172"/>
      <c r="F216" s="164"/>
      <c r="G216" s="164"/>
      <c r="H216" s="409"/>
      <c r="I216" s="164"/>
    </row>
    <row r="217" spans="1:9" ht="15.75" customHeight="1" x14ac:dyDescent="0.2">
      <c r="A217" s="164"/>
      <c r="B217" s="170"/>
      <c r="C217" s="170"/>
      <c r="D217" s="169"/>
      <c r="E217" s="172"/>
      <c r="F217" s="164"/>
      <c r="G217" s="164"/>
      <c r="H217" s="409"/>
      <c r="I217" s="164"/>
    </row>
    <row r="218" spans="1:9" ht="15.75" customHeight="1" x14ac:dyDescent="0.2">
      <c r="A218" s="164"/>
      <c r="B218" s="170"/>
      <c r="C218" s="170"/>
      <c r="D218" s="169"/>
      <c r="E218" s="172"/>
      <c r="F218" s="164"/>
      <c r="G218" s="164"/>
      <c r="H218" s="409"/>
      <c r="I218" s="164"/>
    </row>
    <row r="219" spans="1:9" ht="15.75" customHeight="1" x14ac:dyDescent="0.2">
      <c r="A219" s="164"/>
      <c r="B219" s="170"/>
      <c r="C219" s="170"/>
      <c r="D219" s="169"/>
      <c r="E219" s="172"/>
      <c r="F219" s="164"/>
      <c r="G219" s="164"/>
      <c r="H219" s="409"/>
      <c r="I219" s="164"/>
    </row>
    <row r="220" spans="1:9" ht="15.75" customHeight="1" x14ac:dyDescent="0.2">
      <c r="A220" s="164"/>
      <c r="B220" s="170"/>
      <c r="C220" s="170"/>
      <c r="D220" s="169"/>
      <c r="E220" s="172"/>
      <c r="F220" s="164"/>
      <c r="G220" s="164"/>
      <c r="H220" s="409"/>
      <c r="I220" s="164"/>
    </row>
    <row r="221" spans="1:9" ht="15.75" customHeight="1" x14ac:dyDescent="0.2">
      <c r="A221" s="164"/>
      <c r="B221" s="170"/>
      <c r="C221" s="170"/>
      <c r="D221" s="169"/>
      <c r="E221" s="172"/>
      <c r="F221" s="164"/>
      <c r="G221" s="164"/>
      <c r="H221" s="409"/>
      <c r="I221" s="164"/>
    </row>
    <row r="222" spans="1:9" ht="15.75" customHeight="1" x14ac:dyDescent="0.2">
      <c r="A222" s="164"/>
      <c r="B222" s="170"/>
      <c r="C222" s="170"/>
      <c r="D222" s="169"/>
      <c r="E222" s="172"/>
      <c r="F222" s="164"/>
      <c r="G222" s="164"/>
      <c r="H222" s="409"/>
      <c r="I222" s="164"/>
    </row>
    <row r="223" spans="1:9" ht="15.75" customHeight="1" x14ac:dyDescent="0.2">
      <c r="A223" s="164"/>
      <c r="B223" s="170"/>
      <c r="C223" s="170"/>
      <c r="D223" s="169"/>
      <c r="E223" s="172"/>
      <c r="F223" s="164"/>
      <c r="G223" s="164"/>
      <c r="H223" s="409"/>
      <c r="I223" s="164"/>
    </row>
    <row r="224" spans="1:9" ht="15.75" customHeight="1" x14ac:dyDescent="0.2">
      <c r="A224" s="164"/>
      <c r="B224" s="170"/>
      <c r="C224" s="170"/>
      <c r="D224" s="169"/>
      <c r="E224" s="172"/>
      <c r="F224" s="164"/>
      <c r="G224" s="164"/>
      <c r="H224" s="409"/>
      <c r="I224" s="164"/>
    </row>
    <row r="225" spans="1:9" ht="15.75" customHeight="1" x14ac:dyDescent="0.2">
      <c r="A225" s="164"/>
      <c r="B225" s="170"/>
      <c r="C225" s="170"/>
      <c r="D225" s="169"/>
      <c r="E225" s="172"/>
      <c r="F225" s="164"/>
      <c r="G225" s="164"/>
      <c r="H225" s="409"/>
      <c r="I225" s="164"/>
    </row>
    <row r="226" spans="1:9" ht="15.75" customHeight="1" x14ac:dyDescent="0.2">
      <c r="A226" s="164"/>
      <c r="B226" s="170"/>
      <c r="C226" s="170"/>
      <c r="D226" s="169"/>
      <c r="E226" s="172"/>
      <c r="F226" s="164"/>
      <c r="G226" s="164"/>
      <c r="H226" s="409"/>
      <c r="I226" s="164"/>
    </row>
    <row r="227" spans="1:9" ht="15.75" customHeight="1" x14ac:dyDescent="0.2">
      <c r="A227" s="164"/>
      <c r="B227" s="170"/>
      <c r="C227" s="170"/>
      <c r="D227" s="169"/>
      <c r="E227" s="172"/>
      <c r="F227" s="164"/>
      <c r="G227" s="164"/>
      <c r="H227" s="409"/>
      <c r="I227" s="164"/>
    </row>
    <row r="228" spans="1:9" ht="15.75" customHeight="1" x14ac:dyDescent="0.2">
      <c r="A228" s="164"/>
      <c r="B228" s="170"/>
      <c r="C228" s="170"/>
      <c r="D228" s="169"/>
      <c r="E228" s="172"/>
      <c r="F228" s="164"/>
      <c r="G228" s="164"/>
      <c r="H228" s="409"/>
      <c r="I228" s="164"/>
    </row>
    <row r="229" spans="1:9" ht="15.75" customHeight="1" x14ac:dyDescent="0.2">
      <c r="A229" s="164"/>
      <c r="B229" s="170"/>
      <c r="C229" s="170"/>
      <c r="D229" s="169"/>
      <c r="E229" s="172"/>
      <c r="F229" s="164"/>
      <c r="G229" s="164"/>
      <c r="H229" s="409"/>
      <c r="I229" s="164"/>
    </row>
    <row r="230" spans="1:9" ht="15.75" customHeight="1" x14ac:dyDescent="0.2">
      <c r="A230" s="164"/>
      <c r="B230" s="170"/>
      <c r="C230" s="170"/>
      <c r="D230" s="169"/>
      <c r="E230" s="172"/>
      <c r="F230" s="164"/>
      <c r="G230" s="164"/>
      <c r="H230" s="409"/>
      <c r="I230" s="164"/>
    </row>
    <row r="231" spans="1:9" ht="15.75" customHeight="1" x14ac:dyDescent="0.2">
      <c r="A231" s="164"/>
      <c r="B231" s="170"/>
      <c r="C231" s="170"/>
      <c r="D231" s="169"/>
      <c r="E231" s="172"/>
      <c r="F231" s="164"/>
      <c r="G231" s="164"/>
      <c r="H231" s="409"/>
      <c r="I231" s="164"/>
    </row>
    <row r="232" spans="1:9" ht="15.75" customHeight="1" x14ac:dyDescent="0.2">
      <c r="A232" s="164"/>
      <c r="B232" s="170"/>
      <c r="C232" s="170"/>
      <c r="D232" s="169"/>
      <c r="E232" s="172"/>
      <c r="F232" s="164"/>
      <c r="G232" s="164"/>
      <c r="H232" s="409"/>
      <c r="I232" s="164"/>
    </row>
    <row r="233" spans="1:9" ht="15.75" customHeight="1" x14ac:dyDescent="0.2">
      <c r="A233" s="164"/>
      <c r="B233" s="170"/>
      <c r="C233" s="170"/>
      <c r="D233" s="169"/>
      <c r="E233" s="172"/>
      <c r="F233" s="164"/>
      <c r="G233" s="164"/>
      <c r="H233" s="409"/>
      <c r="I233" s="164"/>
    </row>
    <row r="234" spans="1:9" ht="15.75" customHeight="1" x14ac:dyDescent="0.2">
      <c r="A234" s="164"/>
      <c r="B234" s="170"/>
      <c r="C234" s="170"/>
      <c r="D234" s="169"/>
      <c r="E234" s="172"/>
      <c r="F234" s="164"/>
      <c r="G234" s="164"/>
      <c r="H234" s="409"/>
      <c r="I234" s="164"/>
    </row>
    <row r="235" spans="1:9" ht="15.75" customHeight="1" x14ac:dyDescent="0.2">
      <c r="A235" s="164"/>
      <c r="B235" s="170"/>
      <c r="C235" s="170"/>
      <c r="D235" s="169"/>
      <c r="E235" s="172"/>
      <c r="F235" s="164"/>
      <c r="G235" s="164"/>
      <c r="H235" s="409"/>
      <c r="I235" s="164"/>
    </row>
    <row r="236" spans="1:9" ht="15.75" customHeight="1" x14ac:dyDescent="0.2">
      <c r="A236" s="164"/>
      <c r="B236" s="170"/>
      <c r="C236" s="170"/>
      <c r="D236" s="169"/>
      <c r="E236" s="172"/>
      <c r="F236" s="164"/>
      <c r="G236" s="164"/>
      <c r="H236" s="409"/>
      <c r="I236" s="164"/>
    </row>
    <row r="237" spans="1:9" ht="15.75" customHeight="1" x14ac:dyDescent="0.2">
      <c r="A237" s="164"/>
      <c r="B237" s="170"/>
      <c r="C237" s="170"/>
      <c r="D237" s="169"/>
      <c r="E237" s="172"/>
      <c r="F237" s="164"/>
      <c r="G237" s="164"/>
      <c r="H237" s="409"/>
      <c r="I237" s="164"/>
    </row>
    <row r="238" spans="1:9" ht="15.75" customHeight="1" x14ac:dyDescent="0.2">
      <c r="A238" s="164"/>
      <c r="B238" s="170"/>
      <c r="C238" s="170"/>
      <c r="D238" s="169"/>
      <c r="E238" s="172"/>
      <c r="F238" s="164"/>
      <c r="G238" s="164"/>
      <c r="H238" s="409"/>
      <c r="I238" s="164"/>
    </row>
    <row r="239" spans="1:9" ht="15.75" customHeight="1" x14ac:dyDescent="0.2">
      <c r="A239" s="164"/>
      <c r="B239" s="170"/>
      <c r="C239" s="170"/>
      <c r="D239" s="169"/>
      <c r="E239" s="172"/>
      <c r="F239" s="164"/>
      <c r="G239" s="164"/>
      <c r="H239" s="409"/>
      <c r="I239" s="164"/>
    </row>
    <row r="240" spans="1:9" ht="15.75" customHeight="1" x14ac:dyDescent="0.2">
      <c r="A240" s="164"/>
      <c r="B240" s="170"/>
      <c r="C240" s="170"/>
      <c r="D240" s="169"/>
      <c r="E240" s="172"/>
      <c r="F240" s="164"/>
      <c r="G240" s="164"/>
      <c r="H240" s="409"/>
      <c r="I240" s="164"/>
    </row>
    <row r="241" spans="1:9" ht="15.75" customHeight="1" x14ac:dyDescent="0.2">
      <c r="A241" s="164"/>
      <c r="B241" s="170"/>
      <c r="C241" s="170"/>
      <c r="D241" s="169"/>
      <c r="E241" s="172"/>
      <c r="F241" s="164"/>
      <c r="G241" s="164"/>
      <c r="H241" s="409"/>
      <c r="I241" s="164"/>
    </row>
    <row r="242" spans="1:9" ht="15.75" customHeight="1" x14ac:dyDescent="0.2">
      <c r="A242" s="164"/>
      <c r="B242" s="170"/>
      <c r="C242" s="170"/>
      <c r="D242" s="169"/>
      <c r="E242" s="172"/>
      <c r="F242" s="164"/>
      <c r="G242" s="164"/>
      <c r="H242" s="409"/>
      <c r="I242" s="164"/>
    </row>
    <row r="243" spans="1:9" ht="15.75" customHeight="1" x14ac:dyDescent="0.2">
      <c r="A243" s="164"/>
      <c r="B243" s="170"/>
      <c r="C243" s="170"/>
      <c r="D243" s="169"/>
      <c r="E243" s="172"/>
      <c r="F243" s="164"/>
      <c r="G243" s="164"/>
      <c r="H243" s="409"/>
      <c r="I243" s="164"/>
    </row>
    <row r="244" spans="1:9" ht="15.75" customHeight="1" x14ac:dyDescent="0.2">
      <c r="A244" s="164"/>
      <c r="B244" s="170"/>
      <c r="C244" s="170"/>
      <c r="D244" s="169"/>
      <c r="E244" s="172"/>
      <c r="F244" s="164"/>
      <c r="G244" s="164"/>
      <c r="H244" s="409"/>
      <c r="I244" s="164"/>
    </row>
    <row r="245" spans="1:9" ht="15.75" customHeight="1" x14ac:dyDescent="0.2">
      <c r="A245" s="164"/>
      <c r="B245" s="170"/>
      <c r="C245" s="170"/>
      <c r="D245" s="169"/>
      <c r="E245" s="172"/>
      <c r="F245" s="164"/>
      <c r="G245" s="164"/>
      <c r="H245" s="409"/>
      <c r="I245" s="164"/>
    </row>
    <row r="246" spans="1:9" ht="15.75" customHeight="1" x14ac:dyDescent="0.2">
      <c r="A246" s="164"/>
      <c r="B246" s="170"/>
      <c r="C246" s="170"/>
      <c r="D246" s="169"/>
      <c r="E246" s="172"/>
      <c r="F246" s="164"/>
      <c r="G246" s="164"/>
      <c r="H246" s="409"/>
      <c r="I246" s="164"/>
    </row>
    <row r="247" spans="1:9" ht="15.75" customHeight="1" x14ac:dyDescent="0.2">
      <c r="A247" s="164"/>
      <c r="B247" s="170"/>
      <c r="C247" s="170"/>
      <c r="D247" s="169"/>
      <c r="E247" s="172"/>
      <c r="F247" s="164"/>
      <c r="G247" s="164"/>
      <c r="H247" s="409"/>
      <c r="I247" s="164"/>
    </row>
    <row r="248" spans="1:9" ht="15.75" customHeight="1" x14ac:dyDescent="0.2">
      <c r="A248" s="164"/>
      <c r="B248" s="170"/>
      <c r="C248" s="170"/>
      <c r="D248" s="169"/>
      <c r="E248" s="172"/>
      <c r="F248" s="164"/>
      <c r="G248" s="164"/>
      <c r="H248" s="409"/>
      <c r="I248" s="164"/>
    </row>
    <row r="249" spans="1:9" ht="15.75" customHeight="1" x14ac:dyDescent="0.2">
      <c r="A249" s="164"/>
      <c r="B249" s="170"/>
      <c r="C249" s="170"/>
      <c r="D249" s="169"/>
      <c r="E249" s="172"/>
      <c r="F249" s="164"/>
      <c r="G249" s="164"/>
      <c r="H249" s="409"/>
      <c r="I249" s="164"/>
    </row>
    <row r="250" spans="1:9" ht="15.75" customHeight="1" x14ac:dyDescent="0.2">
      <c r="A250" s="164"/>
      <c r="B250" s="170"/>
      <c r="C250" s="170"/>
      <c r="D250" s="169"/>
      <c r="E250" s="172"/>
      <c r="F250" s="164"/>
      <c r="G250" s="164"/>
      <c r="H250" s="409"/>
      <c r="I250" s="164"/>
    </row>
    <row r="251" spans="1:9" ht="15.75" customHeight="1" x14ac:dyDescent="0.2">
      <c r="A251" s="164"/>
      <c r="B251" s="170"/>
      <c r="C251" s="170"/>
      <c r="D251" s="169"/>
      <c r="E251" s="172"/>
      <c r="F251" s="164"/>
      <c r="G251" s="164"/>
      <c r="H251" s="409"/>
      <c r="I251" s="164"/>
    </row>
    <row r="252" spans="1:9" ht="15.75" customHeight="1" x14ac:dyDescent="0.2">
      <c r="A252" s="164"/>
      <c r="B252" s="170"/>
      <c r="C252" s="170"/>
      <c r="D252" s="169"/>
      <c r="E252" s="172"/>
      <c r="F252" s="164"/>
      <c r="G252" s="164"/>
      <c r="H252" s="409"/>
      <c r="I252" s="164"/>
    </row>
    <row r="253" spans="1:9" ht="15.75" customHeight="1" x14ac:dyDescent="0.2">
      <c r="A253" s="164"/>
      <c r="B253" s="170"/>
      <c r="C253" s="170"/>
      <c r="D253" s="169"/>
      <c r="E253" s="172"/>
      <c r="F253" s="164"/>
      <c r="G253" s="164"/>
      <c r="H253" s="409"/>
      <c r="I253" s="164"/>
    </row>
    <row r="254" spans="1:9" ht="15.75" customHeight="1" x14ac:dyDescent="0.2">
      <c r="A254" s="164"/>
      <c r="B254" s="170"/>
      <c r="C254" s="170"/>
      <c r="D254" s="169"/>
      <c r="E254" s="172"/>
      <c r="F254" s="164"/>
      <c r="G254" s="164"/>
      <c r="H254" s="409"/>
      <c r="I254" s="164"/>
    </row>
    <row r="255" spans="1:9" ht="15.75" customHeight="1" x14ac:dyDescent="0.2">
      <c r="A255" s="164"/>
      <c r="B255" s="170"/>
      <c r="C255" s="170"/>
      <c r="D255" s="169"/>
      <c r="E255" s="172"/>
      <c r="F255" s="164"/>
      <c r="G255" s="164"/>
      <c r="H255" s="409"/>
      <c r="I255" s="164"/>
    </row>
    <row r="256" spans="1:9" ht="15.75" customHeight="1" x14ac:dyDescent="0.2">
      <c r="A256" s="164"/>
      <c r="B256" s="170"/>
      <c r="C256" s="170"/>
      <c r="D256" s="169"/>
      <c r="E256" s="172"/>
      <c r="F256" s="164"/>
      <c r="G256" s="164"/>
      <c r="H256" s="409"/>
      <c r="I256" s="164"/>
    </row>
    <row r="257" spans="1:9" ht="15.75" customHeight="1" x14ac:dyDescent="0.2">
      <c r="A257" s="164"/>
      <c r="B257" s="170"/>
      <c r="C257" s="170"/>
      <c r="D257" s="169"/>
      <c r="E257" s="172"/>
      <c r="F257" s="164"/>
      <c r="G257" s="164"/>
      <c r="H257" s="409"/>
      <c r="I257" s="164"/>
    </row>
    <row r="258" spans="1:9" ht="15.75" customHeight="1" x14ac:dyDescent="0.2">
      <c r="A258" s="164"/>
      <c r="B258" s="170"/>
      <c r="C258" s="170"/>
      <c r="D258" s="169"/>
      <c r="E258" s="172"/>
      <c r="F258" s="164"/>
      <c r="G258" s="164"/>
      <c r="H258" s="409"/>
      <c r="I258" s="164"/>
    </row>
    <row r="259" spans="1:9" ht="15.75" customHeight="1" x14ac:dyDescent="0.2">
      <c r="A259" s="164"/>
      <c r="B259" s="170"/>
      <c r="C259" s="170"/>
      <c r="D259" s="169"/>
      <c r="E259" s="172"/>
      <c r="F259" s="164"/>
      <c r="G259" s="164"/>
      <c r="H259" s="409"/>
      <c r="I259" s="164"/>
    </row>
    <row r="260" spans="1:9" ht="15.75" customHeight="1" x14ac:dyDescent="0.2">
      <c r="A260" s="164"/>
      <c r="B260" s="170"/>
      <c r="C260" s="170"/>
      <c r="D260" s="169"/>
      <c r="E260" s="172"/>
      <c r="F260" s="164"/>
      <c r="G260" s="164"/>
      <c r="H260" s="409"/>
      <c r="I260" s="164"/>
    </row>
    <row r="261" spans="1:9" ht="15.75" customHeight="1" x14ac:dyDescent="0.2">
      <c r="A261" s="164"/>
      <c r="B261" s="170"/>
      <c r="C261" s="170"/>
      <c r="D261" s="169"/>
      <c r="E261" s="172"/>
      <c r="F261" s="164"/>
      <c r="G261" s="164"/>
      <c r="H261" s="409"/>
      <c r="I261" s="164"/>
    </row>
    <row r="262" spans="1:9" ht="15.75" customHeight="1" x14ac:dyDescent="0.2">
      <c r="A262" s="164"/>
      <c r="B262" s="170"/>
      <c r="C262" s="170"/>
      <c r="D262" s="169"/>
      <c r="E262" s="172"/>
      <c r="F262" s="164"/>
      <c r="G262" s="164"/>
      <c r="H262" s="409"/>
      <c r="I262" s="164"/>
    </row>
    <row r="263" spans="1:9" ht="15.75" customHeight="1" x14ac:dyDescent="0.2">
      <c r="A263" s="164"/>
      <c r="B263" s="170"/>
      <c r="C263" s="170"/>
      <c r="D263" s="169"/>
      <c r="E263" s="172"/>
      <c r="F263" s="164"/>
      <c r="G263" s="164"/>
      <c r="H263" s="409"/>
      <c r="I263" s="164"/>
    </row>
    <row r="264" spans="1:9" ht="15.75" customHeight="1" x14ac:dyDescent="0.2">
      <c r="A264" s="164"/>
      <c r="B264" s="170"/>
      <c r="C264" s="170"/>
      <c r="D264" s="169"/>
      <c r="E264" s="172"/>
      <c r="F264" s="164"/>
      <c r="G264" s="164"/>
      <c r="H264" s="409"/>
      <c r="I264" s="164"/>
    </row>
    <row r="265" spans="1:9" ht="15.75" customHeight="1" x14ac:dyDescent="0.2">
      <c r="A265" s="164"/>
      <c r="B265" s="170"/>
      <c r="C265" s="170"/>
      <c r="D265" s="169"/>
      <c r="E265" s="172"/>
      <c r="F265" s="164"/>
      <c r="G265" s="164"/>
      <c r="H265" s="409"/>
      <c r="I265" s="164"/>
    </row>
    <row r="266" spans="1:9" ht="15.75" customHeight="1" x14ac:dyDescent="0.2">
      <c r="A266" s="164"/>
      <c r="B266" s="170"/>
      <c r="C266" s="170"/>
      <c r="D266" s="169"/>
      <c r="E266" s="172"/>
      <c r="F266" s="164"/>
      <c r="G266" s="164"/>
      <c r="H266" s="409"/>
      <c r="I266" s="164"/>
    </row>
    <row r="267" spans="1:9" ht="15.75" customHeight="1" x14ac:dyDescent="0.2">
      <c r="A267" s="164"/>
      <c r="B267" s="170"/>
      <c r="C267" s="170"/>
      <c r="D267" s="169"/>
      <c r="E267" s="172"/>
      <c r="F267" s="164"/>
      <c r="G267" s="164"/>
      <c r="H267" s="409"/>
      <c r="I267" s="164"/>
    </row>
    <row r="268" spans="1:9" ht="15.75" customHeight="1" x14ac:dyDescent="0.2">
      <c r="A268" s="164"/>
      <c r="B268" s="170"/>
      <c r="C268" s="170"/>
      <c r="D268" s="169"/>
      <c r="E268" s="172"/>
      <c r="F268" s="164"/>
      <c r="G268" s="164"/>
      <c r="H268" s="409"/>
      <c r="I268" s="164"/>
    </row>
    <row r="269" spans="1:9" ht="15.75" customHeight="1" x14ac:dyDescent="0.2">
      <c r="A269" s="164"/>
      <c r="B269" s="170"/>
      <c r="C269" s="170"/>
      <c r="D269" s="169"/>
      <c r="E269" s="172"/>
      <c r="F269" s="164"/>
      <c r="G269" s="164"/>
      <c r="H269" s="409"/>
      <c r="I269" s="164"/>
    </row>
    <row r="270" spans="1:9" ht="15.75" customHeight="1" x14ac:dyDescent="0.2">
      <c r="A270" s="164"/>
      <c r="B270" s="170"/>
      <c r="C270" s="170"/>
      <c r="D270" s="169"/>
      <c r="E270" s="172"/>
      <c r="F270" s="164"/>
      <c r="G270" s="164"/>
      <c r="H270" s="409"/>
      <c r="I270" s="164"/>
    </row>
    <row r="271" spans="1:9" ht="15.75" customHeight="1" x14ac:dyDescent="0.2">
      <c r="A271" s="164"/>
      <c r="B271" s="170"/>
      <c r="C271" s="170"/>
      <c r="D271" s="169"/>
      <c r="E271" s="172"/>
      <c r="F271" s="164"/>
      <c r="G271" s="164"/>
      <c r="H271" s="409"/>
      <c r="I271" s="164"/>
    </row>
    <row r="272" spans="1:9" ht="15.75" customHeight="1" x14ac:dyDescent="0.2">
      <c r="A272" s="164"/>
      <c r="B272" s="170"/>
      <c r="C272" s="170"/>
      <c r="D272" s="169"/>
      <c r="E272" s="172"/>
      <c r="F272" s="164"/>
      <c r="G272" s="164"/>
      <c r="H272" s="409"/>
      <c r="I272" s="164"/>
    </row>
    <row r="273" spans="1:9" ht="15.75" customHeight="1" x14ac:dyDescent="0.2">
      <c r="A273" s="164"/>
      <c r="B273" s="170"/>
      <c r="C273" s="170"/>
      <c r="D273" s="169"/>
      <c r="E273" s="172"/>
      <c r="F273" s="164"/>
      <c r="G273" s="164"/>
      <c r="H273" s="409"/>
      <c r="I273" s="164"/>
    </row>
    <row r="274" spans="1:9" ht="15.75" customHeight="1" x14ac:dyDescent="0.2">
      <c r="A274" s="164"/>
      <c r="B274" s="170"/>
      <c r="C274" s="170"/>
      <c r="D274" s="169"/>
      <c r="E274" s="172"/>
      <c r="F274" s="164"/>
      <c r="G274" s="164"/>
      <c r="H274" s="409"/>
      <c r="I274" s="164"/>
    </row>
    <row r="275" spans="1:9" ht="15.75" customHeight="1" x14ac:dyDescent="0.2">
      <c r="A275" s="164"/>
      <c r="B275" s="170"/>
      <c r="C275" s="170"/>
      <c r="D275" s="169"/>
      <c r="E275" s="172"/>
      <c r="F275" s="164"/>
      <c r="G275" s="164"/>
      <c r="H275" s="409"/>
      <c r="I275" s="164"/>
    </row>
    <row r="276" spans="1:9" ht="15.75" customHeight="1" x14ac:dyDescent="0.2">
      <c r="A276" s="164"/>
      <c r="B276" s="170"/>
      <c r="C276" s="170"/>
      <c r="D276" s="169"/>
      <c r="E276" s="172"/>
      <c r="F276" s="164"/>
      <c r="G276" s="164"/>
      <c r="H276" s="409"/>
      <c r="I276" s="164"/>
    </row>
    <row r="277" spans="1:9" ht="15.75" customHeight="1" x14ac:dyDescent="0.2">
      <c r="A277" s="164"/>
      <c r="B277" s="170"/>
      <c r="C277" s="170"/>
      <c r="D277" s="169"/>
      <c r="E277" s="172"/>
      <c r="F277" s="164"/>
      <c r="G277" s="164"/>
      <c r="H277" s="409"/>
      <c r="I277" s="164"/>
    </row>
    <row r="278" spans="1:9" ht="15.75" customHeight="1" x14ac:dyDescent="0.2">
      <c r="A278" s="164"/>
      <c r="B278" s="170"/>
      <c r="C278" s="170"/>
      <c r="D278" s="169"/>
      <c r="E278" s="172"/>
      <c r="F278" s="164"/>
      <c r="G278" s="164"/>
      <c r="H278" s="409"/>
      <c r="I278" s="164"/>
    </row>
    <row r="279" spans="1:9" ht="15.75" customHeight="1" x14ac:dyDescent="0.2">
      <c r="A279" s="164"/>
      <c r="B279" s="170"/>
      <c r="C279" s="170"/>
      <c r="D279" s="169"/>
      <c r="E279" s="172"/>
      <c r="F279" s="164"/>
      <c r="G279" s="164"/>
      <c r="H279" s="409"/>
      <c r="I279" s="164"/>
    </row>
    <row r="280" spans="1:9" ht="15.75" customHeight="1" x14ac:dyDescent="0.2">
      <c r="A280" s="164"/>
      <c r="B280" s="170"/>
      <c r="C280" s="170"/>
      <c r="D280" s="169"/>
      <c r="E280" s="172"/>
      <c r="F280" s="164"/>
      <c r="G280" s="164"/>
      <c r="H280" s="409"/>
      <c r="I280" s="164"/>
    </row>
    <row r="281" spans="1:9" ht="15.75" customHeight="1" x14ac:dyDescent="0.2">
      <c r="A281" s="164"/>
      <c r="B281" s="170"/>
      <c r="C281" s="170"/>
      <c r="D281" s="169"/>
      <c r="E281" s="172"/>
      <c r="F281" s="164"/>
      <c r="G281" s="164"/>
      <c r="H281" s="409"/>
      <c r="I281" s="164"/>
    </row>
    <row r="282" spans="1:9" ht="15.75" customHeight="1" x14ac:dyDescent="0.2">
      <c r="A282" s="164"/>
      <c r="B282" s="170"/>
      <c r="C282" s="170"/>
      <c r="D282" s="169"/>
      <c r="E282" s="172"/>
      <c r="F282" s="164"/>
      <c r="G282" s="164"/>
      <c r="H282" s="409"/>
      <c r="I282" s="164"/>
    </row>
    <row r="283" spans="1:9" ht="15.75" customHeight="1" x14ac:dyDescent="0.2">
      <c r="A283" s="164"/>
      <c r="B283" s="170"/>
      <c r="C283" s="170"/>
      <c r="D283" s="169"/>
      <c r="E283" s="172"/>
      <c r="F283" s="164"/>
      <c r="G283" s="164"/>
      <c r="H283" s="409"/>
      <c r="I283" s="164"/>
    </row>
    <row r="284" spans="1:9" ht="15.75" customHeight="1" x14ac:dyDescent="0.2">
      <c r="A284" s="164"/>
      <c r="B284" s="170"/>
      <c r="C284" s="170"/>
      <c r="D284" s="169"/>
      <c r="E284" s="172"/>
      <c r="F284" s="164"/>
      <c r="G284" s="164"/>
      <c r="H284" s="409"/>
      <c r="I284" s="164"/>
    </row>
    <row r="285" spans="1:9" ht="15.75" customHeight="1" x14ac:dyDescent="0.2">
      <c r="A285" s="164"/>
      <c r="B285" s="170"/>
      <c r="C285" s="170"/>
      <c r="D285" s="169"/>
      <c r="E285" s="172"/>
      <c r="F285" s="164"/>
      <c r="G285" s="164"/>
      <c r="H285" s="409"/>
      <c r="I285" s="164"/>
    </row>
    <row r="286" spans="1:9" ht="15.75" customHeight="1" x14ac:dyDescent="0.2">
      <c r="A286" s="164"/>
      <c r="B286" s="170"/>
      <c r="C286" s="170"/>
      <c r="D286" s="169"/>
      <c r="E286" s="172"/>
      <c r="F286" s="164"/>
      <c r="G286" s="164"/>
      <c r="H286" s="409"/>
      <c r="I286" s="164"/>
    </row>
    <row r="287" spans="1:9" ht="15.75" customHeight="1" x14ac:dyDescent="0.2">
      <c r="A287" s="164"/>
      <c r="B287" s="170"/>
      <c r="C287" s="170"/>
      <c r="D287" s="169"/>
      <c r="E287" s="172"/>
      <c r="F287" s="164"/>
      <c r="G287" s="164"/>
      <c r="H287" s="409"/>
      <c r="I287" s="164"/>
    </row>
    <row r="288" spans="1:9" ht="15.75" customHeight="1" x14ac:dyDescent="0.2">
      <c r="A288" s="164"/>
      <c r="B288" s="170"/>
      <c r="C288" s="170"/>
      <c r="D288" s="169"/>
      <c r="E288" s="172"/>
      <c r="F288" s="164"/>
      <c r="G288" s="164"/>
      <c r="H288" s="409"/>
      <c r="I288" s="164"/>
    </row>
    <row r="289" spans="1:9" ht="15.75" customHeight="1" x14ac:dyDescent="0.2">
      <c r="A289" s="164"/>
      <c r="B289" s="170"/>
      <c r="C289" s="170"/>
      <c r="D289" s="169"/>
      <c r="E289" s="172"/>
      <c r="F289" s="164"/>
      <c r="G289" s="164"/>
      <c r="H289" s="409"/>
      <c r="I289" s="164"/>
    </row>
    <row r="290" spans="1:9" ht="15.75" customHeight="1" x14ac:dyDescent="0.2">
      <c r="A290" s="164"/>
      <c r="B290" s="170"/>
      <c r="C290" s="170"/>
      <c r="D290" s="169"/>
      <c r="E290" s="172"/>
      <c r="F290" s="164"/>
      <c r="G290" s="164"/>
      <c r="H290" s="409"/>
      <c r="I290" s="164"/>
    </row>
    <row r="291" spans="1:9" ht="15.75" customHeight="1" x14ac:dyDescent="0.2">
      <c r="A291" s="164"/>
      <c r="B291" s="170"/>
      <c r="C291" s="170"/>
      <c r="D291" s="169"/>
      <c r="E291" s="172"/>
      <c r="F291" s="164"/>
      <c r="G291" s="164"/>
      <c r="H291" s="409"/>
      <c r="I291" s="164"/>
    </row>
    <row r="292" spans="1:9" ht="15.75" customHeight="1" x14ac:dyDescent="0.2">
      <c r="A292" s="164"/>
      <c r="B292" s="170"/>
      <c r="C292" s="170"/>
      <c r="D292" s="169"/>
      <c r="E292" s="172"/>
      <c r="F292" s="164"/>
      <c r="G292" s="164"/>
      <c r="H292" s="409"/>
      <c r="I292" s="164"/>
    </row>
    <row r="293" spans="1:9" ht="15.75" customHeight="1" x14ac:dyDescent="0.2">
      <c r="A293" s="164"/>
      <c r="B293" s="170"/>
      <c r="C293" s="170"/>
      <c r="D293" s="169"/>
      <c r="E293" s="172"/>
      <c r="F293" s="164"/>
      <c r="G293" s="164"/>
      <c r="H293" s="409"/>
      <c r="I293" s="164"/>
    </row>
    <row r="294" spans="1:9" ht="15.75" customHeight="1" x14ac:dyDescent="0.2">
      <c r="A294" s="164"/>
      <c r="B294" s="170"/>
      <c r="C294" s="170"/>
      <c r="D294" s="169"/>
      <c r="E294" s="172"/>
      <c r="F294" s="164"/>
      <c r="G294" s="164"/>
      <c r="H294" s="409"/>
      <c r="I294" s="164"/>
    </row>
    <row r="295" spans="1:9" ht="15.75" customHeight="1" x14ac:dyDescent="0.2">
      <c r="A295" s="164"/>
      <c r="B295" s="170"/>
      <c r="C295" s="170"/>
      <c r="D295" s="169"/>
      <c r="E295" s="172"/>
      <c r="F295" s="164"/>
      <c r="G295" s="164"/>
      <c r="H295" s="409"/>
      <c r="I295" s="164"/>
    </row>
    <row r="296" spans="1:9" ht="15.75" customHeight="1" x14ac:dyDescent="0.2">
      <c r="A296" s="164"/>
      <c r="B296" s="170"/>
      <c r="C296" s="170"/>
      <c r="D296" s="169"/>
      <c r="E296" s="172"/>
      <c r="F296" s="164"/>
      <c r="G296" s="164"/>
      <c r="H296" s="409"/>
      <c r="I296" s="164"/>
    </row>
    <row r="297" spans="1:9" ht="15.75" customHeight="1" x14ac:dyDescent="0.2">
      <c r="A297" s="164"/>
      <c r="B297" s="170"/>
      <c r="C297" s="170"/>
      <c r="D297" s="169"/>
      <c r="E297" s="172"/>
      <c r="F297" s="164"/>
      <c r="G297" s="164"/>
      <c r="H297" s="409"/>
      <c r="I297" s="164"/>
    </row>
    <row r="298" spans="1:9" ht="15.75" customHeight="1" x14ac:dyDescent="0.2">
      <c r="A298" s="164"/>
      <c r="B298" s="170"/>
      <c r="C298" s="170"/>
      <c r="D298" s="169"/>
      <c r="E298" s="172"/>
      <c r="F298" s="164"/>
      <c r="G298" s="164"/>
      <c r="H298" s="409"/>
      <c r="I298" s="164"/>
    </row>
    <row r="299" spans="1:9" ht="15.75" customHeight="1" x14ac:dyDescent="0.2">
      <c r="A299" s="164"/>
      <c r="B299" s="170"/>
      <c r="C299" s="170"/>
      <c r="D299" s="169"/>
      <c r="E299" s="172"/>
      <c r="F299" s="164"/>
      <c r="G299" s="164"/>
      <c r="H299" s="409"/>
      <c r="I299" s="164"/>
    </row>
    <row r="300" spans="1:9" ht="15.75" customHeight="1" x14ac:dyDescent="0.2">
      <c r="A300" s="164"/>
      <c r="B300" s="170"/>
      <c r="C300" s="170"/>
      <c r="D300" s="169"/>
      <c r="E300" s="172"/>
      <c r="F300" s="164"/>
      <c r="G300" s="164"/>
      <c r="H300" s="409"/>
      <c r="I300" s="164"/>
    </row>
    <row r="301" spans="1:9" ht="15.75" customHeight="1" x14ac:dyDescent="0.2">
      <c r="A301" s="164"/>
      <c r="B301" s="170"/>
      <c r="C301" s="170"/>
      <c r="D301" s="169"/>
      <c r="E301" s="172"/>
      <c r="F301" s="164"/>
      <c r="G301" s="164"/>
      <c r="H301" s="409"/>
      <c r="I301" s="164"/>
    </row>
    <row r="302" spans="1:9" ht="15.75" customHeight="1" x14ac:dyDescent="0.2">
      <c r="A302" s="164"/>
      <c r="B302" s="170"/>
      <c r="C302" s="170"/>
      <c r="D302" s="169"/>
      <c r="E302" s="172"/>
      <c r="F302" s="164"/>
      <c r="G302" s="164"/>
      <c r="H302" s="409"/>
      <c r="I302" s="164"/>
    </row>
    <row r="303" spans="1:9" ht="15.75" customHeight="1" x14ac:dyDescent="0.2">
      <c r="A303" s="164"/>
      <c r="B303" s="170"/>
      <c r="C303" s="170"/>
      <c r="D303" s="169"/>
      <c r="E303" s="172"/>
      <c r="F303" s="164"/>
      <c r="G303" s="164"/>
      <c r="H303" s="409"/>
      <c r="I303" s="164"/>
    </row>
    <row r="304" spans="1:9" ht="15.75" customHeight="1" x14ac:dyDescent="0.2">
      <c r="A304" s="164"/>
      <c r="B304" s="170"/>
      <c r="C304" s="170"/>
      <c r="D304" s="169"/>
      <c r="E304" s="172"/>
      <c r="F304" s="164"/>
      <c r="G304" s="164"/>
      <c r="H304" s="409"/>
      <c r="I304" s="164"/>
    </row>
    <row r="305" spans="1:9" ht="15.75" customHeight="1" x14ac:dyDescent="0.2">
      <c r="A305" s="164"/>
      <c r="B305" s="170"/>
      <c r="C305" s="170"/>
      <c r="D305" s="169"/>
      <c r="E305" s="172"/>
      <c r="F305" s="164"/>
      <c r="G305" s="164"/>
      <c r="H305" s="409"/>
      <c r="I305" s="164"/>
    </row>
    <row r="306" spans="1:9" ht="15.75" customHeight="1" x14ac:dyDescent="0.2">
      <c r="A306" s="164"/>
      <c r="B306" s="170"/>
      <c r="C306" s="170"/>
      <c r="D306" s="169"/>
      <c r="E306" s="172"/>
      <c r="F306" s="164"/>
      <c r="G306" s="164"/>
      <c r="H306" s="409"/>
      <c r="I306" s="164"/>
    </row>
    <row r="307" spans="1:9" ht="15.75" customHeight="1" x14ac:dyDescent="0.2">
      <c r="A307" s="164"/>
      <c r="B307" s="170"/>
      <c r="C307" s="170"/>
      <c r="D307" s="169"/>
      <c r="E307" s="172"/>
      <c r="F307" s="164"/>
      <c r="G307" s="164"/>
      <c r="H307" s="409"/>
      <c r="I307" s="164"/>
    </row>
    <row r="308" spans="1:9" ht="15.75" customHeight="1" x14ac:dyDescent="0.2">
      <c r="A308" s="164"/>
      <c r="B308" s="170"/>
      <c r="C308" s="170"/>
      <c r="D308" s="169"/>
      <c r="E308" s="172"/>
      <c r="F308" s="164"/>
      <c r="G308" s="164"/>
      <c r="H308" s="409"/>
      <c r="I308" s="164"/>
    </row>
    <row r="309" spans="1:9" ht="15.75" customHeight="1" x14ac:dyDescent="0.2">
      <c r="A309" s="164"/>
      <c r="B309" s="170"/>
      <c r="C309" s="170"/>
      <c r="D309" s="169"/>
      <c r="E309" s="172"/>
      <c r="F309" s="164"/>
      <c r="G309" s="164"/>
      <c r="H309" s="409"/>
      <c r="I309" s="164"/>
    </row>
    <row r="310" spans="1:9" ht="15.75" customHeight="1" x14ac:dyDescent="0.2">
      <c r="A310" s="164"/>
      <c r="B310" s="170"/>
      <c r="C310" s="170"/>
      <c r="D310" s="169"/>
      <c r="E310" s="172"/>
      <c r="F310" s="164"/>
      <c r="G310" s="164"/>
      <c r="H310" s="409"/>
      <c r="I310" s="164"/>
    </row>
    <row r="311" spans="1:9" ht="15.75" customHeight="1" x14ac:dyDescent="0.2">
      <c r="A311" s="164"/>
      <c r="B311" s="170"/>
      <c r="C311" s="170"/>
      <c r="D311" s="169"/>
      <c r="E311" s="172"/>
      <c r="F311" s="164"/>
      <c r="G311" s="164"/>
      <c r="H311" s="409"/>
      <c r="I311" s="164"/>
    </row>
    <row r="312" spans="1:9" ht="15.75" customHeight="1" x14ac:dyDescent="0.2">
      <c r="A312" s="164"/>
      <c r="B312" s="170"/>
      <c r="C312" s="170"/>
      <c r="D312" s="169"/>
      <c r="E312" s="172"/>
      <c r="F312" s="164"/>
      <c r="G312" s="164"/>
      <c r="H312" s="409"/>
      <c r="I312" s="164"/>
    </row>
    <row r="313" spans="1:9" ht="15.75" customHeight="1" x14ac:dyDescent="0.2">
      <c r="A313" s="164"/>
      <c r="B313" s="170"/>
      <c r="C313" s="170"/>
      <c r="D313" s="169"/>
      <c r="E313" s="172"/>
      <c r="F313" s="164"/>
      <c r="G313" s="164"/>
      <c r="H313" s="409"/>
      <c r="I313" s="164"/>
    </row>
    <row r="314" spans="1:9" ht="15.75" customHeight="1" x14ac:dyDescent="0.2">
      <c r="A314" s="164"/>
      <c r="B314" s="170"/>
      <c r="C314" s="170"/>
      <c r="D314" s="169"/>
      <c r="E314" s="172"/>
      <c r="F314" s="164"/>
      <c r="G314" s="164"/>
      <c r="H314" s="409"/>
      <c r="I314" s="164"/>
    </row>
    <row r="315" spans="1:9" ht="15.75" customHeight="1" x14ac:dyDescent="0.2">
      <c r="A315" s="164"/>
      <c r="B315" s="170"/>
      <c r="C315" s="170"/>
      <c r="D315" s="169"/>
      <c r="E315" s="172"/>
      <c r="F315" s="164"/>
      <c r="G315" s="164"/>
      <c r="H315" s="409"/>
      <c r="I315" s="164"/>
    </row>
    <row r="316" spans="1:9" ht="15.75" customHeight="1" x14ac:dyDescent="0.2">
      <c r="A316" s="164"/>
      <c r="B316" s="170"/>
      <c r="C316" s="170"/>
      <c r="D316" s="169"/>
      <c r="E316" s="172"/>
      <c r="F316" s="164"/>
      <c r="G316" s="164"/>
      <c r="H316" s="409"/>
      <c r="I316" s="164"/>
    </row>
    <row r="317" spans="1:9" ht="15.75" customHeight="1" x14ac:dyDescent="0.2">
      <c r="A317" s="164"/>
      <c r="B317" s="170"/>
      <c r="C317" s="170"/>
      <c r="D317" s="169"/>
      <c r="E317" s="172"/>
      <c r="F317" s="164"/>
      <c r="G317" s="164"/>
      <c r="H317" s="409"/>
      <c r="I317" s="164"/>
    </row>
    <row r="318" spans="1:9" ht="15.75" customHeight="1" x14ac:dyDescent="0.2">
      <c r="A318" s="164"/>
      <c r="B318" s="170"/>
      <c r="C318" s="170"/>
      <c r="D318" s="169"/>
      <c r="E318" s="172"/>
      <c r="F318" s="164"/>
      <c r="G318" s="164"/>
      <c r="H318" s="409"/>
      <c r="I318" s="164"/>
    </row>
    <row r="319" spans="1:9" ht="15.75" customHeight="1" x14ac:dyDescent="0.2">
      <c r="A319" s="164"/>
      <c r="B319" s="170"/>
      <c r="C319" s="170"/>
      <c r="D319" s="169"/>
      <c r="E319" s="172"/>
      <c r="F319" s="164"/>
      <c r="G319" s="164"/>
      <c r="H319" s="409"/>
      <c r="I319" s="164"/>
    </row>
    <row r="320" spans="1:9" ht="15.75" customHeight="1" x14ac:dyDescent="0.2">
      <c r="A320" s="164"/>
      <c r="B320" s="170"/>
      <c r="C320" s="170"/>
      <c r="D320" s="169"/>
      <c r="E320" s="172"/>
      <c r="F320" s="164"/>
      <c r="G320" s="164"/>
      <c r="H320" s="409"/>
      <c r="I320" s="164"/>
    </row>
    <row r="321" spans="1:9" ht="15.75" customHeight="1" x14ac:dyDescent="0.2">
      <c r="A321" s="164"/>
      <c r="B321" s="170"/>
      <c r="C321" s="170"/>
      <c r="D321" s="169"/>
      <c r="E321" s="172"/>
      <c r="F321" s="164"/>
      <c r="G321" s="164"/>
      <c r="H321" s="409"/>
      <c r="I321" s="164"/>
    </row>
    <row r="322" spans="1:9" ht="15.75" customHeight="1" x14ac:dyDescent="0.2">
      <c r="A322" s="164"/>
      <c r="B322" s="170"/>
      <c r="C322" s="170"/>
      <c r="D322" s="169"/>
      <c r="E322" s="172"/>
      <c r="F322" s="164"/>
      <c r="G322" s="164"/>
      <c r="H322" s="409"/>
      <c r="I322" s="164"/>
    </row>
    <row r="323" spans="1:9" ht="15.75" customHeight="1" x14ac:dyDescent="0.2">
      <c r="A323" s="164"/>
      <c r="B323" s="170"/>
      <c r="C323" s="170"/>
      <c r="D323" s="169"/>
      <c r="E323" s="172"/>
      <c r="F323" s="164"/>
      <c r="G323" s="164"/>
      <c r="H323" s="409"/>
      <c r="I323" s="164"/>
    </row>
    <row r="324" spans="1:9" ht="15.75" customHeight="1" x14ac:dyDescent="0.2">
      <c r="A324" s="164"/>
      <c r="B324" s="170"/>
      <c r="C324" s="170"/>
      <c r="D324" s="169"/>
      <c r="E324" s="172"/>
      <c r="F324" s="164"/>
      <c r="G324" s="164"/>
      <c r="H324" s="409"/>
      <c r="I324" s="164"/>
    </row>
    <row r="325" spans="1:9" ht="15.75" customHeight="1" x14ac:dyDescent="0.2">
      <c r="A325" s="164"/>
      <c r="B325" s="170"/>
      <c r="C325" s="170"/>
      <c r="D325" s="169"/>
      <c r="E325" s="172"/>
      <c r="F325" s="164"/>
      <c r="G325" s="164"/>
      <c r="H325" s="409"/>
      <c r="I325" s="164"/>
    </row>
    <row r="326" spans="1:9" ht="15.75" customHeight="1" x14ac:dyDescent="0.2">
      <c r="A326" s="164"/>
      <c r="B326" s="170"/>
      <c r="C326" s="170"/>
      <c r="D326" s="169"/>
      <c r="E326" s="172"/>
      <c r="F326" s="164"/>
      <c r="G326" s="164"/>
      <c r="H326" s="409"/>
      <c r="I326" s="164"/>
    </row>
    <row r="327" spans="1:9" ht="15.75" customHeight="1" x14ac:dyDescent="0.2">
      <c r="A327" s="164"/>
      <c r="B327" s="170"/>
      <c r="C327" s="170"/>
      <c r="D327" s="169"/>
      <c r="E327" s="172"/>
      <c r="F327" s="164"/>
      <c r="G327" s="164"/>
      <c r="H327" s="409"/>
      <c r="I327" s="164"/>
    </row>
    <row r="328" spans="1:9" ht="15.75" customHeight="1" x14ac:dyDescent="0.2">
      <c r="A328" s="164"/>
      <c r="B328" s="170"/>
      <c r="C328" s="170"/>
      <c r="D328" s="169"/>
      <c r="E328" s="172"/>
      <c r="F328" s="164"/>
      <c r="G328" s="164"/>
      <c r="H328" s="409"/>
      <c r="I328" s="164"/>
    </row>
    <row r="329" spans="1:9" ht="15.75" customHeight="1" x14ac:dyDescent="0.2">
      <c r="A329" s="164"/>
      <c r="B329" s="170"/>
      <c r="C329" s="170"/>
      <c r="D329" s="169"/>
      <c r="E329" s="172"/>
      <c r="F329" s="164"/>
      <c r="G329" s="164"/>
      <c r="H329" s="409"/>
      <c r="I329" s="164"/>
    </row>
    <row r="330" spans="1:9" ht="15.75" customHeight="1" x14ac:dyDescent="0.2">
      <c r="A330" s="164"/>
      <c r="B330" s="170"/>
      <c r="C330" s="170"/>
      <c r="D330" s="169"/>
      <c r="E330" s="172"/>
      <c r="F330" s="164"/>
      <c r="G330" s="164"/>
      <c r="H330" s="409"/>
      <c r="I330" s="164"/>
    </row>
    <row r="331" spans="1:9" ht="15.75" customHeight="1" x14ac:dyDescent="0.2">
      <c r="A331" s="164"/>
      <c r="B331" s="170"/>
      <c r="C331" s="170"/>
      <c r="D331" s="169"/>
      <c r="E331" s="172"/>
      <c r="F331" s="164"/>
      <c r="G331" s="164"/>
      <c r="H331" s="409"/>
      <c r="I331" s="164"/>
    </row>
    <row r="332" spans="1:9" ht="15.75" customHeight="1" x14ac:dyDescent="0.2">
      <c r="A332" s="164"/>
      <c r="B332" s="170"/>
      <c r="C332" s="170"/>
      <c r="D332" s="169"/>
      <c r="E332" s="172"/>
      <c r="F332" s="164"/>
      <c r="G332" s="164"/>
      <c r="H332" s="409"/>
      <c r="I332" s="164"/>
    </row>
    <row r="333" spans="1:9" ht="15.75" customHeight="1" x14ac:dyDescent="0.2">
      <c r="A333" s="164"/>
      <c r="B333" s="170"/>
      <c r="C333" s="170"/>
      <c r="D333" s="169"/>
      <c r="E333" s="172"/>
      <c r="F333" s="164"/>
      <c r="G333" s="164"/>
      <c r="H333" s="409"/>
      <c r="I333" s="164"/>
    </row>
    <row r="334" spans="1:9" ht="15.75" customHeight="1" x14ac:dyDescent="0.2">
      <c r="A334" s="164"/>
      <c r="B334" s="170"/>
      <c r="C334" s="170"/>
      <c r="D334" s="169"/>
      <c r="E334" s="172"/>
      <c r="F334" s="164"/>
      <c r="G334" s="164"/>
      <c r="H334" s="409"/>
      <c r="I334" s="164"/>
    </row>
    <row r="335" spans="1:9" ht="15.75" customHeight="1" x14ac:dyDescent="0.2">
      <c r="A335" s="164"/>
      <c r="B335" s="170"/>
      <c r="C335" s="170"/>
      <c r="D335" s="169"/>
      <c r="E335" s="172"/>
      <c r="F335" s="164"/>
      <c r="G335" s="164"/>
      <c r="H335" s="409"/>
      <c r="I335" s="164"/>
    </row>
    <row r="336" spans="1:9" ht="15.75" customHeight="1" x14ac:dyDescent="0.2">
      <c r="A336" s="164"/>
      <c r="B336" s="170"/>
      <c r="C336" s="170"/>
      <c r="D336" s="169"/>
      <c r="E336" s="172"/>
      <c r="F336" s="164"/>
      <c r="G336" s="164"/>
      <c r="H336" s="409"/>
      <c r="I336" s="164"/>
    </row>
    <row r="337" spans="1:9" ht="15.75" customHeight="1" x14ac:dyDescent="0.2">
      <c r="A337" s="164"/>
      <c r="B337" s="170"/>
      <c r="C337" s="170"/>
      <c r="D337" s="169"/>
      <c r="E337" s="172"/>
      <c r="F337" s="164"/>
      <c r="G337" s="164"/>
      <c r="H337" s="409"/>
      <c r="I337" s="164"/>
    </row>
    <row r="338" spans="1:9" ht="15.75" customHeight="1" x14ac:dyDescent="0.2">
      <c r="A338" s="164"/>
      <c r="B338" s="170"/>
      <c r="C338" s="170"/>
      <c r="D338" s="169"/>
      <c r="E338" s="172"/>
      <c r="F338" s="164"/>
      <c r="G338" s="164"/>
      <c r="H338" s="409"/>
      <c r="I338" s="164"/>
    </row>
    <row r="339" spans="1:9" ht="15.75" customHeight="1" x14ac:dyDescent="0.2">
      <c r="A339" s="164"/>
      <c r="B339" s="170"/>
      <c r="C339" s="170"/>
      <c r="D339" s="169"/>
      <c r="E339" s="172"/>
      <c r="F339" s="164"/>
      <c r="G339" s="164"/>
      <c r="H339" s="409"/>
      <c r="I339" s="164"/>
    </row>
    <row r="340" spans="1:9" ht="15.75" customHeight="1" x14ac:dyDescent="0.2">
      <c r="A340" s="164"/>
      <c r="B340" s="170"/>
      <c r="C340" s="170"/>
      <c r="D340" s="169"/>
      <c r="E340" s="172"/>
      <c r="F340" s="164"/>
      <c r="G340" s="164"/>
      <c r="H340" s="409"/>
      <c r="I340" s="164"/>
    </row>
    <row r="341" spans="1:9" ht="15.75" customHeight="1" x14ac:dyDescent="0.2">
      <c r="A341" s="164"/>
      <c r="B341" s="170"/>
      <c r="C341" s="170"/>
      <c r="D341" s="169"/>
      <c r="E341" s="172"/>
      <c r="F341" s="164"/>
      <c r="G341" s="164"/>
      <c r="H341" s="409"/>
      <c r="I341" s="164"/>
    </row>
    <row r="342" spans="1:9" ht="15.75" customHeight="1" x14ac:dyDescent="0.2">
      <c r="A342" s="164"/>
      <c r="B342" s="170"/>
      <c r="C342" s="170"/>
      <c r="D342" s="169"/>
      <c r="E342" s="172"/>
      <c r="F342" s="164"/>
      <c r="G342" s="164"/>
      <c r="H342" s="409"/>
      <c r="I342" s="164"/>
    </row>
    <row r="343" spans="1:9" ht="15.75" customHeight="1" x14ac:dyDescent="0.2">
      <c r="A343" s="164"/>
      <c r="B343" s="170"/>
      <c r="C343" s="170"/>
      <c r="D343" s="169"/>
      <c r="E343" s="172"/>
      <c r="F343" s="164"/>
      <c r="G343" s="164"/>
      <c r="H343" s="409"/>
      <c r="I343" s="164"/>
    </row>
    <row r="344" spans="1:9" ht="15.75" customHeight="1" x14ac:dyDescent="0.2">
      <c r="A344" s="164"/>
      <c r="B344" s="170"/>
      <c r="C344" s="170"/>
      <c r="D344" s="169"/>
      <c r="E344" s="172"/>
      <c r="F344" s="164"/>
      <c r="G344" s="164"/>
      <c r="H344" s="409"/>
      <c r="I344" s="164"/>
    </row>
    <row r="345" spans="1:9" ht="15.75" customHeight="1" x14ac:dyDescent="0.2">
      <c r="A345" s="164"/>
      <c r="B345" s="170"/>
      <c r="C345" s="170"/>
      <c r="D345" s="169"/>
      <c r="E345" s="172"/>
      <c r="F345" s="164"/>
      <c r="G345" s="164"/>
      <c r="H345" s="409"/>
      <c r="I345" s="164"/>
    </row>
    <row r="346" spans="1:9" ht="15.75" customHeight="1" x14ac:dyDescent="0.2">
      <c r="A346" s="164"/>
      <c r="B346" s="170"/>
      <c r="C346" s="170"/>
      <c r="D346" s="169"/>
      <c r="E346" s="172"/>
      <c r="F346" s="164"/>
      <c r="G346" s="164"/>
      <c r="H346" s="409"/>
      <c r="I346" s="164"/>
    </row>
    <row r="347" spans="1:9" ht="15.75" customHeight="1" x14ac:dyDescent="0.2">
      <c r="A347" s="164"/>
      <c r="B347" s="170"/>
      <c r="C347" s="170"/>
      <c r="D347" s="169"/>
      <c r="E347" s="172"/>
      <c r="F347" s="164"/>
      <c r="G347" s="164"/>
      <c r="H347" s="409"/>
      <c r="I347" s="164"/>
    </row>
    <row r="348" spans="1:9" ht="15.75" customHeight="1" x14ac:dyDescent="0.2">
      <c r="A348" s="164"/>
      <c r="B348" s="170"/>
      <c r="C348" s="170"/>
      <c r="D348" s="169"/>
      <c r="E348" s="172"/>
      <c r="F348" s="164"/>
      <c r="G348" s="164"/>
      <c r="H348" s="409"/>
      <c r="I348" s="164"/>
    </row>
    <row r="349" spans="1:9" ht="15.75" customHeight="1" x14ac:dyDescent="0.2">
      <c r="A349" s="164"/>
      <c r="B349" s="170"/>
      <c r="C349" s="170"/>
      <c r="D349" s="169"/>
      <c r="E349" s="172"/>
      <c r="F349" s="164"/>
      <c r="G349" s="164"/>
      <c r="H349" s="409"/>
      <c r="I349" s="164"/>
    </row>
    <row r="350" spans="1:9" ht="15.75" customHeight="1" x14ac:dyDescent="0.2">
      <c r="A350" s="164"/>
      <c r="B350" s="170"/>
      <c r="C350" s="170"/>
      <c r="D350" s="169"/>
      <c r="E350" s="172"/>
      <c r="F350" s="164"/>
      <c r="G350" s="164"/>
      <c r="H350" s="409"/>
      <c r="I350" s="164"/>
    </row>
    <row r="351" spans="1:9" ht="15.75" customHeight="1" x14ac:dyDescent="0.2">
      <c r="A351" s="164"/>
      <c r="B351" s="170"/>
      <c r="C351" s="170"/>
      <c r="D351" s="169"/>
      <c r="E351" s="172"/>
      <c r="F351" s="164"/>
      <c r="G351" s="164"/>
      <c r="H351" s="409"/>
      <c r="I351" s="164"/>
    </row>
    <row r="352" spans="1:9" ht="15.75" customHeight="1" x14ac:dyDescent="0.2">
      <c r="A352" s="164"/>
      <c r="B352" s="170"/>
      <c r="C352" s="170"/>
      <c r="D352" s="169"/>
      <c r="E352" s="172"/>
      <c r="F352" s="164"/>
      <c r="G352" s="164"/>
      <c r="H352" s="409"/>
      <c r="I352" s="164"/>
    </row>
    <row r="353" spans="1:9" ht="15.75" customHeight="1" x14ac:dyDescent="0.2">
      <c r="A353" s="164"/>
      <c r="B353" s="170"/>
      <c r="C353" s="170"/>
      <c r="D353" s="169"/>
      <c r="E353" s="172"/>
      <c r="F353" s="164"/>
      <c r="G353" s="164"/>
      <c r="H353" s="409"/>
      <c r="I353" s="164"/>
    </row>
    <row r="354" spans="1:9" ht="15.75" customHeight="1" x14ac:dyDescent="0.2">
      <c r="A354" s="164"/>
      <c r="B354" s="170"/>
      <c r="C354" s="170"/>
      <c r="D354" s="169"/>
      <c r="E354" s="172"/>
      <c r="F354" s="164"/>
      <c r="G354" s="164"/>
      <c r="H354" s="409"/>
      <c r="I354" s="164"/>
    </row>
    <row r="355" spans="1:9" ht="15.75" customHeight="1" x14ac:dyDescent="0.2">
      <c r="A355" s="164"/>
      <c r="B355" s="170"/>
      <c r="C355" s="170"/>
      <c r="D355" s="169"/>
      <c r="E355" s="172"/>
      <c r="F355" s="164"/>
      <c r="G355" s="164"/>
      <c r="H355" s="409"/>
      <c r="I355" s="164"/>
    </row>
    <row r="356" spans="1:9" ht="15.75" customHeight="1" x14ac:dyDescent="0.2">
      <c r="A356" s="164"/>
      <c r="B356" s="170"/>
      <c r="C356" s="170"/>
      <c r="D356" s="169"/>
      <c r="E356" s="172"/>
      <c r="F356" s="164"/>
      <c r="G356" s="164"/>
      <c r="H356" s="409"/>
      <c r="I356" s="164"/>
    </row>
    <row r="357" spans="1:9" ht="15.75" customHeight="1" x14ac:dyDescent="0.2">
      <c r="A357" s="164"/>
      <c r="B357" s="170"/>
      <c r="C357" s="170"/>
      <c r="D357" s="169"/>
      <c r="E357" s="172"/>
      <c r="F357" s="164"/>
      <c r="G357" s="164"/>
      <c r="H357" s="409"/>
      <c r="I357" s="164"/>
    </row>
    <row r="358" spans="1:9" ht="15.75" customHeight="1" x14ac:dyDescent="0.2">
      <c r="A358" s="164"/>
      <c r="B358" s="170"/>
      <c r="C358" s="170"/>
      <c r="D358" s="169"/>
      <c r="E358" s="172"/>
      <c r="F358" s="164"/>
      <c r="G358" s="164"/>
      <c r="H358" s="409"/>
      <c r="I358" s="164"/>
    </row>
    <row r="359" spans="1:9" ht="15.75" customHeight="1" x14ac:dyDescent="0.2">
      <c r="A359" s="164"/>
      <c r="B359" s="170"/>
      <c r="C359" s="170"/>
      <c r="D359" s="169"/>
      <c r="E359" s="172"/>
      <c r="F359" s="164"/>
      <c r="G359" s="164"/>
      <c r="H359" s="409"/>
      <c r="I359" s="164"/>
    </row>
    <row r="360" spans="1:9" ht="15.75" customHeight="1" x14ac:dyDescent="0.2">
      <c r="A360" s="164"/>
      <c r="B360" s="170"/>
      <c r="C360" s="170"/>
      <c r="D360" s="169"/>
      <c r="E360" s="172"/>
      <c r="F360" s="164"/>
      <c r="G360" s="164"/>
      <c r="H360" s="409"/>
      <c r="I360" s="164"/>
    </row>
    <row r="361" spans="1:9" ht="15.75" customHeight="1" x14ac:dyDescent="0.2">
      <c r="A361" s="164"/>
      <c r="B361" s="170"/>
      <c r="C361" s="170"/>
      <c r="D361" s="169"/>
      <c r="E361" s="172"/>
      <c r="F361" s="164"/>
      <c r="G361" s="164"/>
      <c r="H361" s="409"/>
      <c r="I361" s="164"/>
    </row>
    <row r="362" spans="1:9" ht="15.75" customHeight="1" x14ac:dyDescent="0.2">
      <c r="A362" s="164"/>
      <c r="B362" s="170"/>
      <c r="C362" s="170"/>
      <c r="D362" s="169"/>
      <c r="E362" s="172"/>
      <c r="F362" s="164"/>
      <c r="G362" s="164"/>
      <c r="H362" s="409"/>
      <c r="I362" s="164"/>
    </row>
    <row r="363" spans="1:9" ht="15.75" customHeight="1" x14ac:dyDescent="0.2">
      <c r="A363" s="164"/>
      <c r="B363" s="170"/>
      <c r="C363" s="170"/>
      <c r="D363" s="169"/>
      <c r="E363" s="172"/>
      <c r="F363" s="164"/>
      <c r="G363" s="164"/>
      <c r="H363" s="409"/>
      <c r="I363" s="164"/>
    </row>
    <row r="364" spans="1:9" ht="15.75" customHeight="1" x14ac:dyDescent="0.2">
      <c r="A364" s="164"/>
      <c r="B364" s="170"/>
      <c r="C364" s="170"/>
      <c r="D364" s="169"/>
      <c r="E364" s="172"/>
      <c r="F364" s="164"/>
      <c r="G364" s="164"/>
      <c r="H364" s="409"/>
      <c r="I364" s="164"/>
    </row>
    <row r="365" spans="1:9" ht="15.75" customHeight="1" x14ac:dyDescent="0.2">
      <c r="A365" s="164"/>
      <c r="B365" s="170"/>
      <c r="C365" s="170"/>
      <c r="D365" s="169"/>
      <c r="E365" s="172"/>
      <c r="F365" s="164"/>
      <c r="G365" s="164"/>
      <c r="H365" s="409"/>
      <c r="I365" s="164"/>
    </row>
    <row r="366" spans="1:9" ht="15.75" customHeight="1" x14ac:dyDescent="0.2">
      <c r="A366" s="164"/>
      <c r="B366" s="170"/>
      <c r="C366" s="170"/>
      <c r="D366" s="169"/>
      <c r="E366" s="172"/>
      <c r="F366" s="164"/>
      <c r="G366" s="164"/>
      <c r="H366" s="409"/>
      <c r="I366" s="164"/>
    </row>
    <row r="367" spans="1:9" ht="15.75" customHeight="1" x14ac:dyDescent="0.2">
      <c r="A367" s="164"/>
      <c r="B367" s="170"/>
      <c r="C367" s="170"/>
      <c r="D367" s="169"/>
      <c r="E367" s="172"/>
      <c r="F367" s="164"/>
      <c r="G367" s="164"/>
      <c r="H367" s="409"/>
      <c r="I367" s="164"/>
    </row>
    <row r="368" spans="1:9" ht="15.75" customHeight="1" x14ac:dyDescent="0.2">
      <c r="A368" s="164"/>
      <c r="B368" s="170"/>
      <c r="C368" s="170"/>
      <c r="D368" s="169"/>
      <c r="E368" s="172"/>
      <c r="F368" s="164"/>
      <c r="G368" s="164"/>
      <c r="H368" s="409"/>
      <c r="I368" s="164"/>
    </row>
    <row r="369" spans="1:9" ht="15.75" customHeight="1" x14ac:dyDescent="0.2">
      <c r="A369" s="164"/>
      <c r="B369" s="170"/>
      <c r="C369" s="170"/>
      <c r="D369" s="169"/>
      <c r="E369" s="172"/>
      <c r="F369" s="164"/>
      <c r="G369" s="164"/>
      <c r="H369" s="409"/>
      <c r="I369" s="164"/>
    </row>
    <row r="370" spans="1:9" ht="15.75" customHeight="1" x14ac:dyDescent="0.2">
      <c r="A370" s="164"/>
      <c r="B370" s="170"/>
      <c r="C370" s="170"/>
      <c r="D370" s="169"/>
      <c r="E370" s="172"/>
      <c r="F370" s="164"/>
      <c r="G370" s="164"/>
      <c r="H370" s="409"/>
      <c r="I370" s="164"/>
    </row>
    <row r="371" spans="1:9" ht="15.75" customHeight="1" x14ac:dyDescent="0.2">
      <c r="A371" s="164"/>
      <c r="B371" s="170"/>
      <c r="C371" s="170"/>
      <c r="D371" s="169"/>
      <c r="E371" s="172"/>
      <c r="F371" s="164"/>
      <c r="G371" s="164"/>
      <c r="H371" s="409"/>
      <c r="I371" s="164"/>
    </row>
    <row r="372" spans="1:9" ht="15.75" customHeight="1" x14ac:dyDescent="0.2">
      <c r="A372" s="164"/>
      <c r="B372" s="170"/>
      <c r="C372" s="170"/>
      <c r="D372" s="169"/>
      <c r="E372" s="172"/>
      <c r="F372" s="164"/>
      <c r="G372" s="164"/>
      <c r="H372" s="409"/>
      <c r="I372" s="164"/>
    </row>
    <row r="373" spans="1:9" ht="15.75" customHeight="1" x14ac:dyDescent="0.2">
      <c r="A373" s="164"/>
      <c r="B373" s="170"/>
      <c r="C373" s="170"/>
      <c r="D373" s="169"/>
      <c r="E373" s="172"/>
      <c r="F373" s="164"/>
      <c r="G373" s="164"/>
      <c r="H373" s="409"/>
      <c r="I373" s="164"/>
    </row>
    <row r="374" spans="1:9" ht="15.75" customHeight="1" x14ac:dyDescent="0.2">
      <c r="A374" s="164"/>
      <c r="B374" s="170"/>
      <c r="C374" s="170"/>
      <c r="D374" s="169"/>
      <c r="E374" s="172"/>
      <c r="F374" s="164"/>
      <c r="G374" s="164"/>
      <c r="H374" s="409"/>
      <c r="I374" s="164"/>
    </row>
    <row r="375" spans="1:9" ht="15.75" customHeight="1" x14ac:dyDescent="0.2">
      <c r="A375" s="164"/>
      <c r="B375" s="170"/>
      <c r="C375" s="170"/>
      <c r="D375" s="169"/>
      <c r="E375" s="172"/>
      <c r="F375" s="164"/>
      <c r="G375" s="164"/>
      <c r="H375" s="409"/>
      <c r="I375" s="164"/>
    </row>
    <row r="376" spans="1:9" ht="15.75" customHeight="1" x14ac:dyDescent="0.2">
      <c r="A376" s="164"/>
      <c r="B376" s="170"/>
      <c r="C376" s="170"/>
      <c r="D376" s="169"/>
      <c r="E376" s="172"/>
      <c r="F376" s="164"/>
      <c r="G376" s="164"/>
      <c r="H376" s="409"/>
      <c r="I376" s="164"/>
    </row>
    <row r="377" spans="1:9" ht="15.75" customHeight="1" x14ac:dyDescent="0.2">
      <c r="A377" s="164"/>
      <c r="B377" s="170"/>
      <c r="C377" s="170"/>
      <c r="D377" s="169"/>
      <c r="E377" s="172"/>
      <c r="F377" s="164"/>
      <c r="G377" s="164"/>
      <c r="H377" s="409"/>
      <c r="I377" s="164"/>
    </row>
    <row r="378" spans="1:9" ht="15.75" customHeight="1" x14ac:dyDescent="0.2">
      <c r="A378" s="164"/>
      <c r="B378" s="170"/>
      <c r="C378" s="170"/>
      <c r="D378" s="169"/>
      <c r="E378" s="172"/>
      <c r="F378" s="164"/>
      <c r="G378" s="164"/>
      <c r="H378" s="409"/>
      <c r="I378" s="164"/>
    </row>
    <row r="379" spans="1:9" ht="15.75" customHeight="1" x14ac:dyDescent="0.2">
      <c r="A379" s="164"/>
      <c r="B379" s="170"/>
      <c r="C379" s="170"/>
      <c r="D379" s="169"/>
      <c r="E379" s="172"/>
      <c r="F379" s="164"/>
      <c r="G379" s="164"/>
      <c r="H379" s="409"/>
      <c r="I379" s="164"/>
    </row>
    <row r="380" spans="1:9" ht="15.75" customHeight="1" x14ac:dyDescent="0.2">
      <c r="A380" s="164"/>
      <c r="B380" s="170"/>
      <c r="C380" s="170"/>
      <c r="D380" s="169"/>
      <c r="E380" s="172"/>
      <c r="F380" s="164"/>
      <c r="G380" s="164"/>
      <c r="H380" s="409"/>
      <c r="I380" s="164"/>
    </row>
    <row r="381" spans="1:9" ht="15.75" customHeight="1" x14ac:dyDescent="0.2">
      <c r="A381" s="164"/>
      <c r="B381" s="170"/>
      <c r="C381" s="170"/>
      <c r="D381" s="169"/>
      <c r="E381" s="172"/>
      <c r="F381" s="164"/>
      <c r="G381" s="164"/>
      <c r="H381" s="409"/>
      <c r="I381" s="164"/>
    </row>
    <row r="382" spans="1:9" ht="15.75" customHeight="1" x14ac:dyDescent="0.2">
      <c r="A382" s="164"/>
      <c r="B382" s="170"/>
      <c r="C382" s="170"/>
      <c r="D382" s="169"/>
      <c r="E382" s="172"/>
      <c r="F382" s="164"/>
      <c r="G382" s="164"/>
      <c r="H382" s="409"/>
      <c r="I382" s="164"/>
    </row>
    <row r="383" spans="1:9" ht="15.75" customHeight="1" x14ac:dyDescent="0.2">
      <c r="A383" s="164"/>
      <c r="B383" s="170"/>
      <c r="C383" s="170"/>
      <c r="D383" s="169"/>
      <c r="E383" s="172"/>
      <c r="F383" s="164"/>
      <c r="G383" s="164"/>
      <c r="H383" s="409"/>
      <c r="I383" s="164"/>
    </row>
    <row r="384" spans="1:9" ht="15.75" customHeight="1" x14ac:dyDescent="0.2">
      <c r="A384" s="164"/>
      <c r="B384" s="170"/>
      <c r="C384" s="170"/>
      <c r="D384" s="169"/>
      <c r="E384" s="172"/>
      <c r="F384" s="164"/>
      <c r="G384" s="164"/>
      <c r="H384" s="409"/>
      <c r="I384" s="164"/>
    </row>
    <row r="385" spans="1:9" ht="15.75" customHeight="1" x14ac:dyDescent="0.2">
      <c r="A385" s="164"/>
      <c r="B385" s="170"/>
      <c r="C385" s="170"/>
      <c r="D385" s="169"/>
      <c r="E385" s="172"/>
      <c r="F385" s="164"/>
      <c r="G385" s="164"/>
      <c r="H385" s="409"/>
      <c r="I385" s="164"/>
    </row>
    <row r="386" spans="1:9" ht="15.75" customHeight="1" x14ac:dyDescent="0.2">
      <c r="A386" s="164"/>
      <c r="B386" s="170"/>
      <c r="C386" s="170"/>
      <c r="D386" s="169"/>
      <c r="E386" s="172"/>
      <c r="F386" s="164"/>
      <c r="G386" s="164"/>
      <c r="H386" s="409"/>
      <c r="I386" s="164"/>
    </row>
    <row r="387" spans="1:9" ht="15.75" customHeight="1" x14ac:dyDescent="0.2">
      <c r="A387" s="164"/>
      <c r="B387" s="170"/>
      <c r="C387" s="170"/>
      <c r="D387" s="169"/>
      <c r="E387" s="172"/>
      <c r="F387" s="164"/>
      <c r="G387" s="164"/>
      <c r="H387" s="409"/>
      <c r="I387" s="164"/>
    </row>
    <row r="388" spans="1:9" ht="15.75" customHeight="1" x14ac:dyDescent="0.2">
      <c r="A388" s="164"/>
      <c r="B388" s="170"/>
      <c r="C388" s="170"/>
      <c r="D388" s="169"/>
      <c r="E388" s="172"/>
      <c r="F388" s="164"/>
      <c r="G388" s="164"/>
      <c r="H388" s="409"/>
      <c r="I388" s="164"/>
    </row>
    <row r="389" spans="1:9" ht="15.75" customHeight="1" x14ac:dyDescent="0.2">
      <c r="A389" s="164"/>
      <c r="B389" s="170"/>
      <c r="C389" s="170"/>
      <c r="D389" s="169"/>
      <c r="E389" s="172"/>
      <c r="F389" s="164"/>
      <c r="G389" s="164"/>
      <c r="H389" s="409"/>
      <c r="I389" s="164"/>
    </row>
    <row r="390" spans="1:9" ht="15.75" customHeight="1" x14ac:dyDescent="0.2">
      <c r="A390" s="164"/>
      <c r="B390" s="170"/>
      <c r="C390" s="170"/>
      <c r="D390" s="169"/>
      <c r="E390" s="172"/>
      <c r="F390" s="164"/>
      <c r="G390" s="164"/>
      <c r="H390" s="409"/>
      <c r="I390" s="164"/>
    </row>
    <row r="391" spans="1:9" ht="15.75" customHeight="1" x14ac:dyDescent="0.2">
      <c r="A391" s="164"/>
      <c r="B391" s="170"/>
      <c r="C391" s="170"/>
      <c r="D391" s="169"/>
      <c r="E391" s="172"/>
      <c r="F391" s="164"/>
      <c r="G391" s="164"/>
      <c r="H391" s="409"/>
      <c r="I391" s="164"/>
    </row>
    <row r="392" spans="1:9" ht="15.75" customHeight="1" x14ac:dyDescent="0.2">
      <c r="A392" s="164"/>
      <c r="B392" s="170"/>
      <c r="C392" s="170"/>
      <c r="D392" s="169"/>
      <c r="E392" s="172"/>
      <c r="F392" s="164"/>
      <c r="G392" s="164"/>
      <c r="H392" s="409"/>
      <c r="I392" s="164"/>
    </row>
    <row r="393" spans="1:9" ht="15.75" customHeight="1" x14ac:dyDescent="0.2">
      <c r="A393" s="164"/>
      <c r="B393" s="170"/>
      <c r="C393" s="170"/>
      <c r="D393" s="169"/>
      <c r="E393" s="172"/>
      <c r="F393" s="164"/>
      <c r="G393" s="164"/>
      <c r="H393" s="409"/>
      <c r="I393" s="164"/>
    </row>
    <row r="394" spans="1:9" ht="15.75" customHeight="1" x14ac:dyDescent="0.2">
      <c r="A394" s="164"/>
      <c r="B394" s="170"/>
      <c r="C394" s="170"/>
      <c r="D394" s="169"/>
      <c r="E394" s="172"/>
      <c r="F394" s="164"/>
      <c r="G394" s="164"/>
      <c r="H394" s="409"/>
      <c r="I394" s="164"/>
    </row>
    <row r="395" spans="1:9" ht="15.75" customHeight="1" x14ac:dyDescent="0.2">
      <c r="A395" s="164"/>
      <c r="B395" s="170"/>
      <c r="C395" s="170"/>
      <c r="D395" s="169"/>
      <c r="E395" s="172"/>
      <c r="F395" s="164"/>
      <c r="G395" s="164"/>
      <c r="H395" s="409"/>
      <c r="I395" s="164"/>
    </row>
    <row r="396" spans="1:9" ht="15.75" customHeight="1" x14ac:dyDescent="0.2">
      <c r="A396" s="164"/>
      <c r="B396" s="170"/>
      <c r="C396" s="170"/>
      <c r="D396" s="169"/>
      <c r="E396" s="172"/>
      <c r="F396" s="164"/>
      <c r="G396" s="164"/>
      <c r="H396" s="409"/>
      <c r="I396" s="164"/>
    </row>
    <row r="397" spans="1:9" ht="15.75" customHeight="1" x14ac:dyDescent="0.2">
      <c r="A397" s="164"/>
      <c r="B397" s="170"/>
      <c r="C397" s="170"/>
      <c r="D397" s="169"/>
      <c r="E397" s="172"/>
      <c r="F397" s="164"/>
      <c r="G397" s="164"/>
      <c r="H397" s="409"/>
      <c r="I397" s="164"/>
    </row>
    <row r="398" spans="1:9" ht="15.75" customHeight="1" x14ac:dyDescent="0.2">
      <c r="A398" s="164"/>
      <c r="B398" s="170"/>
      <c r="C398" s="170"/>
      <c r="D398" s="169"/>
      <c r="E398" s="172"/>
      <c r="F398" s="164"/>
      <c r="G398" s="164"/>
      <c r="H398" s="409"/>
      <c r="I398" s="164"/>
    </row>
    <row r="399" spans="1:9" ht="15.75" customHeight="1" x14ac:dyDescent="0.2">
      <c r="A399" s="164"/>
      <c r="B399" s="170"/>
      <c r="C399" s="170"/>
      <c r="D399" s="169"/>
      <c r="E399" s="172"/>
      <c r="F399" s="164"/>
      <c r="G399" s="164"/>
      <c r="H399" s="409"/>
      <c r="I399" s="164"/>
    </row>
    <row r="400" spans="1:9" ht="15.75" customHeight="1" x14ac:dyDescent="0.2">
      <c r="A400" s="164"/>
      <c r="B400" s="170"/>
      <c r="C400" s="170"/>
      <c r="D400" s="169"/>
      <c r="E400" s="172"/>
      <c r="F400" s="164"/>
      <c r="G400" s="164"/>
      <c r="H400" s="409"/>
      <c r="I400" s="164"/>
    </row>
    <row r="401" spans="1:9" ht="15.75" customHeight="1" x14ac:dyDescent="0.2">
      <c r="A401" s="164"/>
      <c r="B401" s="170"/>
      <c r="C401" s="170"/>
      <c r="D401" s="169"/>
      <c r="E401" s="172"/>
      <c r="F401" s="164"/>
      <c r="G401" s="164"/>
      <c r="H401" s="409"/>
      <c r="I401" s="164"/>
    </row>
    <row r="402" spans="1:9" ht="15.75" customHeight="1" x14ac:dyDescent="0.2">
      <c r="A402" s="164"/>
      <c r="B402" s="170"/>
      <c r="C402" s="170"/>
      <c r="D402" s="169"/>
      <c r="E402" s="172"/>
      <c r="F402" s="164"/>
      <c r="G402" s="164"/>
      <c r="H402" s="409"/>
      <c r="I402" s="164"/>
    </row>
    <row r="403" spans="1:9" ht="15.75" customHeight="1" x14ac:dyDescent="0.2">
      <c r="A403" s="164"/>
      <c r="B403" s="170"/>
      <c r="C403" s="170"/>
      <c r="D403" s="169"/>
      <c r="E403" s="172"/>
      <c r="F403" s="164"/>
      <c r="G403" s="164"/>
      <c r="H403" s="409"/>
      <c r="I403" s="164"/>
    </row>
    <row r="404" spans="1:9" ht="15.75" customHeight="1" x14ac:dyDescent="0.2">
      <c r="A404" s="164"/>
      <c r="B404" s="170"/>
      <c r="C404" s="170"/>
      <c r="D404" s="169"/>
      <c r="E404" s="172"/>
      <c r="F404" s="164"/>
      <c r="G404" s="164"/>
      <c r="H404" s="409"/>
      <c r="I404" s="164"/>
    </row>
    <row r="405" spans="1:9" ht="15.75" customHeight="1" x14ac:dyDescent="0.2">
      <c r="A405" s="164"/>
      <c r="B405" s="170"/>
      <c r="C405" s="170"/>
      <c r="D405" s="169"/>
      <c r="E405" s="172"/>
      <c r="F405" s="164"/>
      <c r="G405" s="164"/>
      <c r="H405" s="409"/>
      <c r="I405" s="164"/>
    </row>
    <row r="406" spans="1:9" ht="15.75" customHeight="1" x14ac:dyDescent="0.2">
      <c r="A406" s="164"/>
      <c r="B406" s="170"/>
      <c r="C406" s="170"/>
      <c r="D406" s="169"/>
      <c r="E406" s="172"/>
      <c r="F406" s="164"/>
      <c r="G406" s="164"/>
      <c r="H406" s="409"/>
      <c r="I406" s="164"/>
    </row>
    <row r="407" spans="1:9" ht="15.75" customHeight="1" x14ac:dyDescent="0.2">
      <c r="A407" s="164"/>
      <c r="B407" s="170"/>
      <c r="C407" s="170"/>
      <c r="D407" s="169"/>
      <c r="E407" s="172"/>
      <c r="F407" s="164"/>
      <c r="G407" s="164"/>
      <c r="H407" s="409"/>
      <c r="I407" s="164"/>
    </row>
    <row r="408" spans="1:9" ht="15.75" customHeight="1" x14ac:dyDescent="0.2">
      <c r="A408" s="164"/>
      <c r="B408" s="170"/>
      <c r="C408" s="170"/>
      <c r="D408" s="169"/>
      <c r="E408" s="172"/>
      <c r="F408" s="164"/>
      <c r="G408" s="164"/>
      <c r="H408" s="409"/>
      <c r="I408" s="164"/>
    </row>
    <row r="409" spans="1:9" ht="15.75" customHeight="1" x14ac:dyDescent="0.2">
      <c r="A409" s="164"/>
      <c r="B409" s="170"/>
      <c r="C409" s="170"/>
      <c r="D409" s="169"/>
      <c r="E409" s="172"/>
      <c r="F409" s="164"/>
      <c r="G409" s="164"/>
      <c r="H409" s="409"/>
      <c r="I409" s="164"/>
    </row>
    <row r="410" spans="1:9" ht="15.75" customHeight="1" x14ac:dyDescent="0.2">
      <c r="A410" s="164"/>
      <c r="B410" s="170"/>
      <c r="C410" s="170"/>
      <c r="D410" s="169"/>
      <c r="E410" s="172"/>
      <c r="F410" s="164"/>
      <c r="G410" s="164"/>
      <c r="H410" s="409"/>
      <c r="I410" s="164"/>
    </row>
    <row r="411" spans="1:9" ht="15.75" customHeight="1" x14ac:dyDescent="0.2">
      <c r="A411" s="164"/>
      <c r="B411" s="170"/>
      <c r="C411" s="170"/>
      <c r="D411" s="169"/>
      <c r="E411" s="172"/>
      <c r="F411" s="164"/>
      <c r="G411" s="164"/>
      <c r="H411" s="409"/>
      <c r="I411" s="164"/>
    </row>
    <row r="412" spans="1:9" ht="15.75" customHeight="1" x14ac:dyDescent="0.2">
      <c r="A412" s="164"/>
      <c r="B412" s="170"/>
      <c r="C412" s="170"/>
      <c r="D412" s="169"/>
      <c r="E412" s="172"/>
      <c r="F412" s="164"/>
      <c r="G412" s="164"/>
      <c r="H412" s="409"/>
      <c r="I412" s="164"/>
    </row>
    <row r="413" spans="1:9" ht="15.75" customHeight="1" x14ac:dyDescent="0.2">
      <c r="A413" s="164"/>
      <c r="B413" s="170"/>
      <c r="C413" s="170"/>
      <c r="D413" s="169"/>
      <c r="E413" s="172"/>
      <c r="F413" s="164"/>
      <c r="G413" s="164"/>
      <c r="H413" s="409"/>
      <c r="I413" s="164"/>
    </row>
    <row r="414" spans="1:9" ht="15.75" customHeight="1" x14ac:dyDescent="0.2">
      <c r="A414" s="164"/>
      <c r="B414" s="170"/>
      <c r="C414" s="170"/>
      <c r="D414" s="169"/>
      <c r="E414" s="172"/>
      <c r="F414" s="164"/>
      <c r="G414" s="164"/>
      <c r="H414" s="409"/>
      <c r="I414" s="164"/>
    </row>
    <row r="415" spans="1:9" ht="15.75" customHeight="1" x14ac:dyDescent="0.2">
      <c r="A415" s="164"/>
      <c r="B415" s="170"/>
      <c r="C415" s="170"/>
      <c r="D415" s="169"/>
      <c r="E415" s="172"/>
      <c r="F415" s="164"/>
      <c r="G415" s="164"/>
      <c r="H415" s="409"/>
      <c r="I415" s="164"/>
    </row>
    <row r="416" spans="1:9" ht="15.75" customHeight="1" x14ac:dyDescent="0.2">
      <c r="A416" s="164"/>
      <c r="B416" s="170"/>
      <c r="C416" s="170"/>
      <c r="D416" s="169"/>
      <c r="E416" s="172"/>
      <c r="F416" s="164"/>
      <c r="G416" s="164"/>
      <c r="H416" s="409"/>
      <c r="I416" s="164"/>
    </row>
    <row r="417" spans="1:9" ht="15.75" customHeight="1" x14ac:dyDescent="0.2">
      <c r="A417" s="164"/>
      <c r="B417" s="170"/>
      <c r="C417" s="170"/>
      <c r="D417" s="169"/>
      <c r="E417" s="172"/>
      <c r="F417" s="164"/>
      <c r="G417" s="164"/>
      <c r="H417" s="409"/>
      <c r="I417" s="164"/>
    </row>
    <row r="418" spans="1:9" ht="15.75" customHeight="1" x14ac:dyDescent="0.2">
      <c r="A418" s="164"/>
      <c r="B418" s="170"/>
      <c r="C418" s="170"/>
      <c r="D418" s="169"/>
      <c r="E418" s="172"/>
      <c r="F418" s="164"/>
      <c r="G418" s="164"/>
      <c r="H418" s="409"/>
      <c r="I418" s="164"/>
    </row>
    <row r="419" spans="1:9" ht="15.75" customHeight="1" x14ac:dyDescent="0.2">
      <c r="A419" s="164"/>
      <c r="B419" s="170"/>
      <c r="C419" s="170"/>
      <c r="D419" s="169"/>
      <c r="E419" s="172"/>
      <c r="F419" s="164"/>
      <c r="G419" s="164"/>
      <c r="H419" s="409"/>
      <c r="I419" s="164"/>
    </row>
    <row r="420" spans="1:9" ht="15.75" customHeight="1" x14ac:dyDescent="0.2">
      <c r="A420" s="164"/>
      <c r="B420" s="170"/>
      <c r="C420" s="170"/>
      <c r="D420" s="169"/>
      <c r="E420" s="172"/>
      <c r="F420" s="164"/>
      <c r="G420" s="164"/>
      <c r="H420" s="409"/>
      <c r="I420" s="164"/>
    </row>
    <row r="421" spans="1:9" ht="15.75" customHeight="1" x14ac:dyDescent="0.2">
      <c r="A421" s="164"/>
      <c r="B421" s="170"/>
      <c r="C421" s="170"/>
      <c r="D421" s="169"/>
      <c r="E421" s="172"/>
      <c r="F421" s="164"/>
      <c r="G421" s="164"/>
      <c r="H421" s="409"/>
      <c r="I421" s="164"/>
    </row>
    <row r="422" spans="1:9" ht="15.75" customHeight="1" x14ac:dyDescent="0.2">
      <c r="A422" s="164"/>
      <c r="B422" s="170"/>
      <c r="C422" s="170"/>
      <c r="D422" s="169"/>
      <c r="E422" s="172"/>
      <c r="F422" s="164"/>
      <c r="G422" s="164"/>
      <c r="H422" s="409"/>
      <c r="I422" s="164"/>
    </row>
    <row r="423" spans="1:9" ht="15.75" customHeight="1" x14ac:dyDescent="0.2">
      <c r="A423" s="164"/>
      <c r="B423" s="170"/>
      <c r="C423" s="170"/>
      <c r="D423" s="169"/>
      <c r="E423" s="172"/>
      <c r="F423" s="164"/>
      <c r="G423" s="164"/>
      <c r="H423" s="409"/>
      <c r="I423" s="164"/>
    </row>
    <row r="424" spans="1:9" ht="15.75" customHeight="1" x14ac:dyDescent="0.2">
      <c r="A424" s="164"/>
      <c r="B424" s="170"/>
      <c r="C424" s="170"/>
      <c r="D424" s="169"/>
      <c r="E424" s="172"/>
      <c r="F424" s="164"/>
      <c r="G424" s="164"/>
      <c r="H424" s="409"/>
      <c r="I424" s="164"/>
    </row>
    <row r="425" spans="1:9" ht="15.75" customHeight="1" x14ac:dyDescent="0.2">
      <c r="A425" s="164"/>
      <c r="B425" s="170"/>
      <c r="C425" s="170"/>
      <c r="D425" s="169"/>
      <c r="E425" s="172"/>
      <c r="F425" s="164"/>
      <c r="G425" s="164"/>
      <c r="H425" s="409"/>
      <c r="I425" s="164"/>
    </row>
    <row r="426" spans="1:9" ht="15.75" customHeight="1" x14ac:dyDescent="0.2">
      <c r="A426" s="164"/>
      <c r="B426" s="170"/>
      <c r="C426" s="170"/>
      <c r="D426" s="169"/>
      <c r="E426" s="172"/>
      <c r="F426" s="164"/>
      <c r="G426" s="164"/>
      <c r="H426" s="409"/>
      <c r="I426" s="164"/>
    </row>
    <row r="427" spans="1:9" ht="15.75" customHeight="1" x14ac:dyDescent="0.2">
      <c r="A427" s="164"/>
      <c r="B427" s="170"/>
      <c r="C427" s="170"/>
      <c r="D427" s="169"/>
      <c r="E427" s="172"/>
      <c r="F427" s="164"/>
      <c r="G427" s="164"/>
      <c r="H427" s="409"/>
      <c r="I427" s="164"/>
    </row>
    <row r="428" spans="1:9" ht="15.75" customHeight="1" x14ac:dyDescent="0.2">
      <c r="A428" s="164"/>
      <c r="B428" s="170"/>
      <c r="C428" s="170"/>
      <c r="D428" s="169"/>
      <c r="E428" s="172"/>
      <c r="F428" s="164"/>
      <c r="G428" s="164"/>
      <c r="H428" s="409"/>
      <c r="I428" s="164"/>
    </row>
    <row r="429" spans="1:9" ht="15.75" customHeight="1" x14ac:dyDescent="0.2">
      <c r="A429" s="164"/>
      <c r="B429" s="170"/>
      <c r="C429" s="170"/>
      <c r="D429" s="169"/>
      <c r="E429" s="172"/>
      <c r="F429" s="164"/>
      <c r="G429" s="164"/>
      <c r="H429" s="409"/>
      <c r="I429" s="164"/>
    </row>
    <row r="430" spans="1:9" ht="15.75" customHeight="1" x14ac:dyDescent="0.2">
      <c r="A430" s="164"/>
      <c r="B430" s="170"/>
      <c r="C430" s="170"/>
      <c r="D430" s="169"/>
      <c r="E430" s="172"/>
      <c r="F430" s="164"/>
      <c r="G430" s="164"/>
      <c r="H430" s="409"/>
      <c r="I430" s="164"/>
    </row>
    <row r="431" spans="1:9" ht="15.75" customHeight="1" x14ac:dyDescent="0.2">
      <c r="A431" s="164"/>
      <c r="B431" s="170"/>
      <c r="C431" s="170"/>
      <c r="D431" s="169"/>
      <c r="E431" s="172"/>
      <c r="F431" s="164"/>
      <c r="G431" s="164"/>
      <c r="H431" s="409"/>
      <c r="I431" s="164"/>
    </row>
    <row r="432" spans="1:9" ht="15.75" customHeight="1" x14ac:dyDescent="0.2">
      <c r="A432" s="164"/>
      <c r="B432" s="170"/>
      <c r="C432" s="170"/>
      <c r="D432" s="169"/>
      <c r="E432" s="172"/>
      <c r="F432" s="164"/>
      <c r="G432" s="164"/>
      <c r="H432" s="409"/>
      <c r="I432" s="164"/>
    </row>
    <row r="433" spans="1:9" ht="15.75" customHeight="1" x14ac:dyDescent="0.2">
      <c r="A433" s="164"/>
      <c r="B433" s="170"/>
      <c r="C433" s="170"/>
      <c r="D433" s="169"/>
      <c r="E433" s="172"/>
      <c r="F433" s="164"/>
      <c r="G433" s="164"/>
      <c r="H433" s="409"/>
      <c r="I433" s="164"/>
    </row>
    <row r="434" spans="1:9" ht="15.75" customHeight="1" x14ac:dyDescent="0.2">
      <c r="A434" s="164"/>
      <c r="B434" s="170"/>
      <c r="C434" s="170"/>
      <c r="D434" s="169"/>
      <c r="E434" s="172"/>
      <c r="F434" s="164"/>
      <c r="G434" s="164"/>
      <c r="H434" s="409"/>
      <c r="I434" s="164"/>
    </row>
    <row r="435" spans="1:9" ht="15.75" customHeight="1" x14ac:dyDescent="0.2">
      <c r="A435" s="164"/>
      <c r="B435" s="170"/>
      <c r="C435" s="170"/>
      <c r="D435" s="169"/>
      <c r="E435" s="172"/>
      <c r="F435" s="164"/>
      <c r="G435" s="164"/>
      <c r="H435" s="409"/>
      <c r="I435" s="164"/>
    </row>
    <row r="436" spans="1:9" ht="15.75" customHeight="1" x14ac:dyDescent="0.2">
      <c r="A436" s="164"/>
      <c r="B436" s="170"/>
      <c r="C436" s="170"/>
      <c r="D436" s="169"/>
      <c r="E436" s="172"/>
      <c r="F436" s="164"/>
      <c r="G436" s="164"/>
      <c r="H436" s="409"/>
      <c r="I436" s="164"/>
    </row>
    <row r="437" spans="1:9" ht="15.75" customHeight="1" x14ac:dyDescent="0.2">
      <c r="A437" s="164"/>
      <c r="B437" s="170"/>
      <c r="C437" s="170"/>
      <c r="D437" s="169"/>
      <c r="E437" s="172"/>
      <c r="F437" s="164"/>
      <c r="G437" s="164"/>
      <c r="H437" s="409"/>
      <c r="I437" s="164"/>
    </row>
    <row r="438" spans="1:9" ht="15.75" customHeight="1" x14ac:dyDescent="0.2">
      <c r="A438" s="164"/>
      <c r="B438" s="170"/>
      <c r="C438" s="170"/>
      <c r="D438" s="169"/>
      <c r="E438" s="172"/>
      <c r="F438" s="164"/>
      <c r="G438" s="164"/>
      <c r="H438" s="409"/>
      <c r="I438" s="164"/>
    </row>
    <row r="439" spans="1:9" ht="15.75" customHeight="1" x14ac:dyDescent="0.2">
      <c r="A439" s="164"/>
      <c r="B439" s="170"/>
      <c r="C439" s="170"/>
      <c r="D439" s="169"/>
      <c r="E439" s="172"/>
      <c r="F439" s="164"/>
      <c r="G439" s="164"/>
      <c r="H439" s="409"/>
      <c r="I439" s="164"/>
    </row>
    <row r="440" spans="1:9" ht="15.75" customHeight="1" x14ac:dyDescent="0.2">
      <c r="A440" s="164"/>
      <c r="B440" s="170"/>
      <c r="C440" s="170"/>
      <c r="D440" s="169"/>
      <c r="E440" s="172"/>
      <c r="F440" s="164"/>
      <c r="G440" s="164"/>
      <c r="H440" s="409"/>
      <c r="I440" s="164"/>
    </row>
    <row r="441" spans="1:9" ht="15.75" customHeight="1" x14ac:dyDescent="0.2">
      <c r="A441" s="164"/>
      <c r="B441" s="170"/>
      <c r="C441" s="170"/>
      <c r="D441" s="169"/>
      <c r="E441" s="172"/>
      <c r="F441" s="164"/>
      <c r="G441" s="164"/>
      <c r="H441" s="409"/>
      <c r="I441" s="164"/>
    </row>
    <row r="442" spans="1:9" ht="15.75" customHeight="1" x14ac:dyDescent="0.2">
      <c r="A442" s="164"/>
      <c r="B442" s="170"/>
      <c r="C442" s="170"/>
      <c r="D442" s="169"/>
      <c r="E442" s="172"/>
      <c r="F442" s="164"/>
      <c r="G442" s="164"/>
      <c r="H442" s="409"/>
      <c r="I442" s="164"/>
    </row>
    <row r="443" spans="1:9" ht="15.75" customHeight="1" x14ac:dyDescent="0.2">
      <c r="A443" s="164"/>
      <c r="B443" s="170"/>
      <c r="C443" s="170"/>
      <c r="D443" s="169"/>
      <c r="E443" s="172"/>
      <c r="F443" s="164"/>
      <c r="G443" s="164"/>
      <c r="H443" s="409"/>
      <c r="I443" s="164"/>
    </row>
    <row r="444" spans="1:9" ht="15.75" customHeight="1" x14ac:dyDescent="0.2">
      <c r="A444" s="164"/>
      <c r="B444" s="170"/>
      <c r="C444" s="170"/>
      <c r="D444" s="169"/>
      <c r="E444" s="172"/>
      <c r="F444" s="164"/>
      <c r="G444" s="164"/>
      <c r="H444" s="409"/>
      <c r="I444" s="164"/>
    </row>
    <row r="445" spans="1:9" ht="15.75" customHeight="1" x14ac:dyDescent="0.2">
      <c r="A445" s="164"/>
      <c r="B445" s="170"/>
      <c r="C445" s="170"/>
      <c r="D445" s="169"/>
      <c r="E445" s="172"/>
      <c r="F445" s="164"/>
      <c r="G445" s="164"/>
      <c r="H445" s="409"/>
      <c r="I445" s="164"/>
    </row>
    <row r="446" spans="1:9" ht="15.75" customHeight="1" x14ac:dyDescent="0.2">
      <c r="A446" s="164"/>
      <c r="B446" s="170"/>
      <c r="C446" s="170"/>
      <c r="D446" s="169"/>
      <c r="E446" s="172"/>
      <c r="F446" s="164"/>
      <c r="G446" s="164"/>
      <c r="H446" s="409"/>
      <c r="I446" s="164"/>
    </row>
    <row r="447" spans="1:9" ht="15.75" customHeight="1" x14ac:dyDescent="0.2">
      <c r="A447" s="164"/>
      <c r="B447" s="170"/>
      <c r="C447" s="170"/>
      <c r="D447" s="169"/>
      <c r="E447" s="172"/>
      <c r="F447" s="164"/>
      <c r="G447" s="164"/>
      <c r="H447" s="409"/>
      <c r="I447" s="164"/>
    </row>
    <row r="448" spans="1:9" ht="15.75" customHeight="1" x14ac:dyDescent="0.2">
      <c r="A448" s="164"/>
      <c r="B448" s="170"/>
      <c r="C448" s="170"/>
      <c r="D448" s="169"/>
      <c r="E448" s="172"/>
      <c r="F448" s="164"/>
      <c r="G448" s="164"/>
      <c r="H448" s="409"/>
      <c r="I448" s="164"/>
    </row>
    <row r="449" spans="1:9" ht="15.75" customHeight="1" x14ac:dyDescent="0.2">
      <c r="A449" s="164"/>
      <c r="B449" s="170"/>
      <c r="C449" s="170"/>
      <c r="D449" s="169"/>
      <c r="E449" s="172"/>
      <c r="F449" s="164"/>
      <c r="G449" s="164"/>
      <c r="H449" s="409"/>
      <c r="I449" s="164"/>
    </row>
    <row r="450" spans="1:9" ht="15.75" customHeight="1" x14ac:dyDescent="0.2">
      <c r="A450" s="164"/>
      <c r="B450" s="170"/>
      <c r="C450" s="170"/>
      <c r="D450" s="169"/>
      <c r="E450" s="172"/>
      <c r="F450" s="164"/>
      <c r="G450" s="164"/>
      <c r="H450" s="409"/>
      <c r="I450" s="164"/>
    </row>
    <row r="451" spans="1:9" ht="15.75" customHeight="1" x14ac:dyDescent="0.2">
      <c r="A451" s="164"/>
      <c r="B451" s="170"/>
      <c r="C451" s="170"/>
      <c r="D451" s="169"/>
      <c r="E451" s="172"/>
      <c r="F451" s="164"/>
      <c r="G451" s="164"/>
      <c r="H451" s="409"/>
      <c r="I451" s="164"/>
    </row>
    <row r="452" spans="1:9" ht="15.75" customHeight="1" x14ac:dyDescent="0.2">
      <c r="A452" s="164"/>
      <c r="B452" s="170"/>
      <c r="C452" s="170"/>
      <c r="D452" s="169"/>
      <c r="E452" s="172"/>
      <c r="F452" s="164"/>
      <c r="G452" s="164"/>
      <c r="H452" s="409"/>
      <c r="I452" s="164"/>
    </row>
    <row r="453" spans="1:9" ht="15.75" customHeight="1" x14ac:dyDescent="0.2">
      <c r="A453" s="164"/>
      <c r="B453" s="170"/>
      <c r="C453" s="170"/>
      <c r="D453" s="169"/>
      <c r="E453" s="172"/>
      <c r="F453" s="164"/>
      <c r="G453" s="164"/>
      <c r="H453" s="409"/>
      <c r="I453" s="164"/>
    </row>
    <row r="454" spans="1:9" ht="15.75" customHeight="1" x14ac:dyDescent="0.2">
      <c r="A454" s="164"/>
      <c r="B454" s="170"/>
      <c r="C454" s="170"/>
      <c r="D454" s="169"/>
      <c r="E454" s="172"/>
      <c r="F454" s="164"/>
      <c r="G454" s="164"/>
      <c r="H454" s="409"/>
      <c r="I454" s="164"/>
    </row>
    <row r="455" spans="1:9" ht="15.75" customHeight="1" x14ac:dyDescent="0.2">
      <c r="A455" s="164"/>
      <c r="B455" s="170"/>
      <c r="C455" s="170"/>
      <c r="D455" s="169"/>
      <c r="E455" s="172"/>
      <c r="F455" s="164"/>
      <c r="G455" s="164"/>
      <c r="H455" s="409"/>
      <c r="I455" s="164"/>
    </row>
    <row r="456" spans="1:9" ht="15.75" customHeight="1" x14ac:dyDescent="0.2">
      <c r="A456" s="164"/>
      <c r="B456" s="170"/>
      <c r="C456" s="170"/>
      <c r="D456" s="169"/>
      <c r="E456" s="172"/>
      <c r="F456" s="164"/>
      <c r="G456" s="164"/>
      <c r="H456" s="409"/>
      <c r="I456" s="164"/>
    </row>
    <row r="457" spans="1:9" ht="15.75" customHeight="1" x14ac:dyDescent="0.2">
      <c r="A457" s="164"/>
      <c r="B457" s="170"/>
      <c r="C457" s="170"/>
      <c r="D457" s="169"/>
      <c r="E457" s="172"/>
      <c r="F457" s="164"/>
      <c r="G457" s="164"/>
      <c r="H457" s="409"/>
      <c r="I457" s="164"/>
    </row>
    <row r="458" spans="1:9" ht="15.75" customHeight="1" x14ac:dyDescent="0.2">
      <c r="A458" s="164"/>
      <c r="B458" s="170"/>
      <c r="C458" s="170"/>
      <c r="D458" s="169"/>
      <c r="E458" s="172"/>
      <c r="F458" s="164"/>
      <c r="G458" s="164"/>
      <c r="H458" s="409"/>
      <c r="I458" s="164"/>
    </row>
    <row r="459" spans="1:9" ht="15.75" customHeight="1" x14ac:dyDescent="0.2">
      <c r="A459" s="164"/>
      <c r="B459" s="170"/>
      <c r="C459" s="170"/>
      <c r="D459" s="169"/>
      <c r="E459" s="172"/>
      <c r="F459" s="164"/>
      <c r="G459" s="164"/>
      <c r="H459" s="409"/>
      <c r="I459" s="164"/>
    </row>
    <row r="460" spans="1:9" ht="15.75" customHeight="1" x14ac:dyDescent="0.2">
      <c r="A460" s="164"/>
      <c r="B460" s="170"/>
      <c r="C460" s="170"/>
      <c r="D460" s="169"/>
      <c r="E460" s="172"/>
      <c r="F460" s="164"/>
      <c r="G460" s="164"/>
      <c r="H460" s="409"/>
      <c r="I460" s="164"/>
    </row>
    <row r="461" spans="1:9" ht="15.75" customHeight="1" x14ac:dyDescent="0.2">
      <c r="A461" s="164"/>
      <c r="B461" s="170"/>
      <c r="C461" s="170"/>
      <c r="D461" s="169"/>
      <c r="E461" s="172"/>
      <c r="F461" s="164"/>
      <c r="G461" s="164"/>
      <c r="H461" s="409"/>
      <c r="I461" s="164"/>
    </row>
    <row r="462" spans="1:9" ht="15.75" customHeight="1" x14ac:dyDescent="0.2">
      <c r="A462" s="164"/>
      <c r="B462" s="170"/>
      <c r="C462" s="170"/>
      <c r="D462" s="169"/>
      <c r="E462" s="172"/>
      <c r="F462" s="164"/>
      <c r="G462" s="164"/>
      <c r="H462" s="409"/>
      <c r="I462" s="164"/>
    </row>
    <row r="463" spans="1:9" ht="15.75" customHeight="1" x14ac:dyDescent="0.2">
      <c r="A463" s="164"/>
      <c r="B463" s="170"/>
      <c r="C463" s="170"/>
      <c r="D463" s="169"/>
      <c r="E463" s="172"/>
      <c r="F463" s="164"/>
      <c r="G463" s="164"/>
      <c r="H463" s="409"/>
      <c r="I463" s="164"/>
    </row>
    <row r="464" spans="1:9" ht="15.75" customHeight="1" x14ac:dyDescent="0.2">
      <c r="A464" s="164"/>
      <c r="B464" s="170"/>
      <c r="C464" s="170"/>
      <c r="D464" s="169"/>
      <c r="E464" s="172"/>
      <c r="F464" s="164"/>
      <c r="G464" s="164"/>
      <c r="H464" s="409"/>
      <c r="I464" s="164"/>
    </row>
    <row r="465" spans="1:9" ht="15.75" customHeight="1" x14ac:dyDescent="0.2">
      <c r="A465" s="164"/>
      <c r="B465" s="170"/>
      <c r="C465" s="170"/>
      <c r="D465" s="169"/>
      <c r="E465" s="172"/>
      <c r="F465" s="164"/>
      <c r="G465" s="164"/>
      <c r="H465" s="409"/>
      <c r="I465" s="164"/>
    </row>
    <row r="466" spans="1:9" ht="15.75" customHeight="1" x14ac:dyDescent="0.2">
      <c r="A466" s="164"/>
      <c r="B466" s="170"/>
      <c r="C466" s="170"/>
      <c r="D466" s="169"/>
      <c r="E466" s="172"/>
      <c r="F466" s="164"/>
      <c r="G466" s="164"/>
      <c r="H466" s="409"/>
      <c r="I466" s="164"/>
    </row>
    <row r="467" spans="1:9" ht="15.75" customHeight="1" x14ac:dyDescent="0.2">
      <c r="A467" s="164"/>
      <c r="B467" s="170"/>
      <c r="C467" s="170"/>
      <c r="D467" s="169"/>
      <c r="E467" s="172"/>
      <c r="F467" s="164"/>
      <c r="G467" s="164"/>
      <c r="H467" s="409"/>
      <c r="I467" s="164"/>
    </row>
    <row r="468" spans="1:9" ht="15.75" customHeight="1" x14ac:dyDescent="0.2">
      <c r="A468" s="164"/>
      <c r="B468" s="170"/>
      <c r="C468" s="170"/>
      <c r="D468" s="169"/>
      <c r="E468" s="172"/>
      <c r="F468" s="164"/>
      <c r="G468" s="164"/>
      <c r="H468" s="409"/>
      <c r="I468" s="164"/>
    </row>
    <row r="469" spans="1:9" ht="15.75" customHeight="1" x14ac:dyDescent="0.2">
      <c r="A469" s="164"/>
      <c r="B469" s="170"/>
      <c r="C469" s="170"/>
      <c r="D469" s="169"/>
      <c r="E469" s="172"/>
      <c r="F469" s="164"/>
      <c r="G469" s="164"/>
      <c r="H469" s="409"/>
      <c r="I469" s="164"/>
    </row>
    <row r="470" spans="1:9" ht="15.75" customHeight="1" x14ac:dyDescent="0.2">
      <c r="A470" s="164"/>
      <c r="B470" s="170"/>
      <c r="C470" s="170"/>
      <c r="D470" s="169"/>
      <c r="E470" s="172"/>
      <c r="F470" s="164"/>
      <c r="G470" s="164"/>
      <c r="H470" s="409"/>
      <c r="I470" s="164"/>
    </row>
    <row r="471" spans="1:9" ht="15.75" customHeight="1" x14ac:dyDescent="0.2">
      <c r="A471" s="164"/>
      <c r="B471" s="170"/>
      <c r="C471" s="170"/>
      <c r="D471" s="169"/>
      <c r="E471" s="172"/>
      <c r="F471" s="164"/>
      <c r="G471" s="164"/>
      <c r="H471" s="409"/>
      <c r="I471" s="164"/>
    </row>
    <row r="472" spans="1:9" ht="15.75" customHeight="1" x14ac:dyDescent="0.2">
      <c r="A472" s="164"/>
      <c r="B472" s="170"/>
      <c r="C472" s="170"/>
      <c r="D472" s="169"/>
      <c r="E472" s="172"/>
      <c r="F472" s="164"/>
      <c r="G472" s="164"/>
      <c r="H472" s="409"/>
      <c r="I472" s="164"/>
    </row>
    <row r="473" spans="1:9" ht="15.75" customHeight="1" x14ac:dyDescent="0.2">
      <c r="A473" s="164"/>
      <c r="B473" s="170"/>
      <c r="C473" s="170"/>
      <c r="D473" s="169"/>
      <c r="E473" s="172"/>
      <c r="F473" s="164"/>
      <c r="G473" s="164"/>
      <c r="H473" s="409"/>
      <c r="I473" s="164"/>
    </row>
    <row r="474" spans="1:9" ht="15.75" customHeight="1" x14ac:dyDescent="0.2">
      <c r="A474" s="164"/>
      <c r="B474" s="170"/>
      <c r="C474" s="170"/>
      <c r="D474" s="169"/>
      <c r="E474" s="172"/>
      <c r="F474" s="164"/>
      <c r="G474" s="164"/>
      <c r="H474" s="409"/>
      <c r="I474" s="164"/>
    </row>
    <row r="475" spans="1:9" ht="15.75" customHeight="1" x14ac:dyDescent="0.2">
      <c r="A475" s="164"/>
      <c r="B475" s="170"/>
      <c r="C475" s="170"/>
      <c r="D475" s="169"/>
      <c r="E475" s="172"/>
      <c r="F475" s="164"/>
      <c r="G475" s="164"/>
      <c r="H475" s="409"/>
      <c r="I475" s="164"/>
    </row>
    <row r="476" spans="1:9" ht="15.75" customHeight="1" x14ac:dyDescent="0.2">
      <c r="A476" s="164"/>
      <c r="B476" s="170"/>
      <c r="C476" s="170"/>
      <c r="D476" s="169"/>
      <c r="E476" s="172"/>
      <c r="F476" s="164"/>
      <c r="G476" s="164"/>
      <c r="H476" s="409"/>
      <c r="I476" s="164"/>
    </row>
    <row r="477" spans="1:9" ht="15.75" customHeight="1" x14ac:dyDescent="0.2">
      <c r="A477" s="164"/>
      <c r="B477" s="170"/>
      <c r="C477" s="170"/>
      <c r="D477" s="169"/>
      <c r="E477" s="172"/>
      <c r="F477" s="164"/>
      <c r="G477" s="164"/>
      <c r="H477" s="409"/>
      <c r="I477" s="164"/>
    </row>
    <row r="478" spans="1:9" ht="15.75" customHeight="1" x14ac:dyDescent="0.2">
      <c r="A478" s="164"/>
      <c r="B478" s="170"/>
      <c r="C478" s="170"/>
      <c r="D478" s="169"/>
      <c r="E478" s="172"/>
      <c r="F478" s="164"/>
      <c r="G478" s="164"/>
      <c r="H478" s="409"/>
      <c r="I478" s="164"/>
    </row>
    <row r="479" spans="1:9" ht="15.75" customHeight="1" x14ac:dyDescent="0.2">
      <c r="A479" s="164"/>
      <c r="B479" s="170"/>
      <c r="C479" s="170"/>
      <c r="D479" s="169"/>
      <c r="E479" s="172"/>
      <c r="F479" s="164"/>
      <c r="G479" s="164"/>
      <c r="H479" s="409"/>
      <c r="I479" s="164"/>
    </row>
    <row r="480" spans="1:9" ht="15.75" customHeight="1" x14ac:dyDescent="0.2">
      <c r="A480" s="164"/>
      <c r="B480" s="170"/>
      <c r="C480" s="170"/>
      <c r="D480" s="169"/>
      <c r="E480" s="172"/>
      <c r="F480" s="164"/>
      <c r="G480" s="164"/>
      <c r="H480" s="409"/>
      <c r="I480" s="164"/>
    </row>
    <row r="481" spans="1:9" ht="15.75" customHeight="1" x14ac:dyDescent="0.2">
      <c r="A481" s="164"/>
      <c r="B481" s="170"/>
      <c r="C481" s="170"/>
      <c r="D481" s="169"/>
      <c r="E481" s="172"/>
      <c r="F481" s="164"/>
      <c r="G481" s="164"/>
      <c r="H481" s="409"/>
      <c r="I481" s="164"/>
    </row>
    <row r="482" spans="1:9" ht="15.75" customHeight="1" x14ac:dyDescent="0.2">
      <c r="A482" s="164"/>
      <c r="B482" s="170"/>
      <c r="C482" s="170"/>
      <c r="D482" s="169"/>
      <c r="E482" s="172"/>
      <c r="F482" s="164"/>
      <c r="G482" s="164"/>
      <c r="H482" s="409"/>
      <c r="I482" s="164"/>
    </row>
    <row r="483" spans="1:9" ht="15.75" customHeight="1" x14ac:dyDescent="0.2">
      <c r="A483" s="164"/>
      <c r="B483" s="170"/>
      <c r="C483" s="170"/>
      <c r="D483" s="169"/>
      <c r="E483" s="172"/>
      <c r="F483" s="164"/>
      <c r="G483" s="164"/>
      <c r="H483" s="409"/>
      <c r="I483" s="164"/>
    </row>
    <row r="484" spans="1:9" ht="15.75" customHeight="1" x14ac:dyDescent="0.2">
      <c r="A484" s="164"/>
      <c r="B484" s="170"/>
      <c r="C484" s="170"/>
      <c r="D484" s="169"/>
      <c r="E484" s="172"/>
      <c r="F484" s="164"/>
      <c r="G484" s="164"/>
      <c r="H484" s="409"/>
      <c r="I484" s="164"/>
    </row>
    <row r="485" spans="1:9" ht="15.75" customHeight="1" x14ac:dyDescent="0.2">
      <c r="A485" s="164"/>
      <c r="B485" s="170"/>
      <c r="C485" s="170"/>
      <c r="D485" s="169"/>
      <c r="E485" s="172"/>
      <c r="F485" s="164"/>
      <c r="G485" s="164"/>
      <c r="H485" s="409"/>
      <c r="I485" s="164"/>
    </row>
    <row r="486" spans="1:9" ht="15.75" customHeight="1" x14ac:dyDescent="0.2">
      <c r="A486" s="164"/>
      <c r="B486" s="170"/>
      <c r="C486" s="170"/>
      <c r="D486" s="169"/>
      <c r="E486" s="172"/>
      <c r="F486" s="164"/>
      <c r="G486" s="164"/>
      <c r="H486" s="409"/>
      <c r="I486" s="164"/>
    </row>
    <row r="487" spans="1:9" ht="15.75" customHeight="1" x14ac:dyDescent="0.2">
      <c r="A487" s="164"/>
      <c r="B487" s="170"/>
      <c r="C487" s="170"/>
      <c r="D487" s="169"/>
      <c r="E487" s="172"/>
      <c r="F487" s="164"/>
      <c r="G487" s="164"/>
      <c r="H487" s="409"/>
      <c r="I487" s="164"/>
    </row>
    <row r="488" spans="1:9" ht="15.75" customHeight="1" x14ac:dyDescent="0.2">
      <c r="A488" s="164"/>
      <c r="B488" s="170"/>
      <c r="C488" s="170"/>
      <c r="D488" s="169"/>
      <c r="E488" s="172"/>
      <c r="F488" s="164"/>
      <c r="G488" s="164"/>
      <c r="H488" s="409"/>
      <c r="I488" s="164"/>
    </row>
    <row r="489" spans="1:9" ht="15.75" customHeight="1" x14ac:dyDescent="0.2">
      <c r="A489" s="164"/>
      <c r="B489" s="170"/>
      <c r="C489" s="170"/>
      <c r="D489" s="169"/>
      <c r="E489" s="172"/>
      <c r="F489" s="164"/>
      <c r="G489" s="164"/>
      <c r="H489" s="409"/>
      <c r="I489" s="164"/>
    </row>
    <row r="490" spans="1:9" ht="15.75" customHeight="1" x14ac:dyDescent="0.2">
      <c r="A490" s="164"/>
      <c r="B490" s="170"/>
      <c r="C490" s="170"/>
      <c r="D490" s="169"/>
      <c r="E490" s="172"/>
      <c r="F490" s="164"/>
      <c r="G490" s="164"/>
      <c r="H490" s="409"/>
      <c r="I490" s="164"/>
    </row>
    <row r="491" spans="1:9" ht="15.75" customHeight="1" x14ac:dyDescent="0.2">
      <c r="A491" s="164"/>
      <c r="B491" s="170"/>
      <c r="C491" s="170"/>
      <c r="D491" s="169"/>
      <c r="E491" s="172"/>
      <c r="F491" s="164"/>
      <c r="G491" s="164"/>
      <c r="H491" s="409"/>
      <c r="I491" s="164"/>
    </row>
    <row r="492" spans="1:9" ht="15.75" customHeight="1" x14ac:dyDescent="0.2">
      <c r="A492" s="164"/>
      <c r="B492" s="170"/>
      <c r="C492" s="170"/>
      <c r="D492" s="169"/>
      <c r="E492" s="172"/>
      <c r="F492" s="164"/>
      <c r="G492" s="164"/>
      <c r="H492" s="409"/>
      <c r="I492" s="164"/>
    </row>
    <row r="493" spans="1:9" ht="15.75" customHeight="1" x14ac:dyDescent="0.2">
      <c r="A493" s="164"/>
      <c r="B493" s="170"/>
      <c r="C493" s="170"/>
      <c r="D493" s="169"/>
      <c r="E493" s="172"/>
      <c r="F493" s="164"/>
      <c r="G493" s="164"/>
      <c r="H493" s="409"/>
      <c r="I493" s="164"/>
    </row>
    <row r="494" spans="1:9" ht="15.75" customHeight="1" x14ac:dyDescent="0.2">
      <c r="A494" s="164"/>
      <c r="B494" s="170"/>
      <c r="C494" s="170"/>
      <c r="D494" s="169"/>
      <c r="E494" s="172"/>
      <c r="F494" s="164"/>
      <c r="G494" s="164"/>
      <c r="H494" s="409"/>
      <c r="I494" s="164"/>
    </row>
    <row r="495" spans="1:9" ht="15.75" customHeight="1" x14ac:dyDescent="0.2">
      <c r="A495" s="164"/>
      <c r="B495" s="170"/>
      <c r="C495" s="170"/>
      <c r="D495" s="169"/>
      <c r="E495" s="172"/>
      <c r="F495" s="164"/>
      <c r="G495" s="164"/>
      <c r="H495" s="409"/>
      <c r="I495" s="164"/>
    </row>
    <row r="496" spans="1:9" ht="15.75" customHeight="1" x14ac:dyDescent="0.2">
      <c r="A496" s="164"/>
      <c r="B496" s="170"/>
      <c r="C496" s="170"/>
      <c r="D496" s="169"/>
      <c r="E496" s="172"/>
      <c r="F496" s="164"/>
      <c r="G496" s="164"/>
      <c r="H496" s="409"/>
      <c r="I496" s="164"/>
    </row>
    <row r="497" spans="1:9" ht="15.75" customHeight="1" x14ac:dyDescent="0.2">
      <c r="A497" s="164"/>
      <c r="B497" s="170"/>
      <c r="C497" s="170"/>
      <c r="D497" s="169"/>
      <c r="E497" s="172"/>
      <c r="F497" s="164"/>
      <c r="G497" s="164"/>
      <c r="H497" s="409"/>
      <c r="I497" s="164"/>
    </row>
    <row r="498" spans="1:9" ht="15.75" customHeight="1" x14ac:dyDescent="0.2">
      <c r="A498" s="164"/>
      <c r="B498" s="170"/>
      <c r="C498" s="170"/>
      <c r="D498" s="169"/>
      <c r="E498" s="172"/>
      <c r="F498" s="164"/>
      <c r="G498" s="164"/>
      <c r="H498" s="409"/>
      <c r="I498" s="164"/>
    </row>
    <row r="499" spans="1:9" ht="15.75" customHeight="1" x14ac:dyDescent="0.2">
      <c r="A499" s="164"/>
      <c r="B499" s="170"/>
      <c r="C499" s="170"/>
      <c r="D499" s="169"/>
      <c r="E499" s="172"/>
      <c r="F499" s="164"/>
      <c r="G499" s="164"/>
      <c r="H499" s="409"/>
      <c r="I499" s="164"/>
    </row>
    <row r="500" spans="1:9" ht="15.75" customHeight="1" x14ac:dyDescent="0.2">
      <c r="A500" s="164"/>
      <c r="B500" s="170"/>
      <c r="C500" s="170"/>
      <c r="D500" s="169"/>
      <c r="E500" s="172"/>
      <c r="F500" s="164"/>
      <c r="G500" s="164"/>
      <c r="H500" s="409"/>
      <c r="I500" s="164"/>
    </row>
    <row r="501" spans="1:9" ht="15.75" customHeight="1" x14ac:dyDescent="0.2">
      <c r="A501" s="164"/>
      <c r="B501" s="170"/>
      <c r="C501" s="170"/>
      <c r="D501" s="169"/>
      <c r="E501" s="172"/>
      <c r="F501" s="164"/>
      <c r="G501" s="164"/>
      <c r="H501" s="409"/>
      <c r="I501" s="164"/>
    </row>
    <row r="502" spans="1:9" ht="15.75" customHeight="1" x14ac:dyDescent="0.2">
      <c r="A502" s="164"/>
      <c r="B502" s="170"/>
      <c r="C502" s="170"/>
      <c r="D502" s="169"/>
      <c r="E502" s="172"/>
      <c r="F502" s="164"/>
      <c r="G502" s="164"/>
      <c r="H502" s="409"/>
      <c r="I502" s="164"/>
    </row>
    <row r="503" spans="1:9" ht="15.75" customHeight="1" x14ac:dyDescent="0.2">
      <c r="A503" s="164"/>
      <c r="B503" s="170"/>
      <c r="C503" s="170"/>
      <c r="D503" s="169"/>
      <c r="E503" s="172"/>
      <c r="F503" s="164"/>
      <c r="G503" s="164"/>
      <c r="H503" s="409"/>
      <c r="I503" s="164"/>
    </row>
    <row r="504" spans="1:9" ht="15.75" customHeight="1" x14ac:dyDescent="0.2">
      <c r="A504" s="164"/>
      <c r="B504" s="170"/>
      <c r="C504" s="170"/>
      <c r="D504" s="169"/>
      <c r="E504" s="172"/>
      <c r="F504" s="164"/>
      <c r="G504" s="164"/>
      <c r="H504" s="409"/>
      <c r="I504" s="164"/>
    </row>
    <row r="505" spans="1:9" ht="15.75" customHeight="1" x14ac:dyDescent="0.2">
      <c r="A505" s="164"/>
      <c r="B505" s="170"/>
      <c r="C505" s="170"/>
      <c r="D505" s="169"/>
      <c r="E505" s="172"/>
      <c r="F505" s="164"/>
      <c r="G505" s="164"/>
      <c r="H505" s="409"/>
      <c r="I505" s="164"/>
    </row>
    <row r="506" spans="1:9" ht="15.75" customHeight="1" x14ac:dyDescent="0.2">
      <c r="A506" s="164"/>
      <c r="B506" s="170"/>
      <c r="C506" s="170"/>
      <c r="D506" s="169"/>
      <c r="E506" s="172"/>
      <c r="F506" s="164"/>
      <c r="G506" s="164"/>
      <c r="H506" s="409"/>
      <c r="I506" s="164"/>
    </row>
    <row r="507" spans="1:9" ht="15.75" customHeight="1" x14ac:dyDescent="0.2">
      <c r="A507" s="164"/>
      <c r="B507" s="170"/>
      <c r="C507" s="170"/>
      <c r="D507" s="169"/>
      <c r="E507" s="172"/>
      <c r="F507" s="164"/>
      <c r="G507" s="164"/>
      <c r="H507" s="409"/>
      <c r="I507" s="164"/>
    </row>
    <row r="508" spans="1:9" ht="15.75" customHeight="1" x14ac:dyDescent="0.2">
      <c r="A508" s="164"/>
      <c r="B508" s="170"/>
      <c r="C508" s="170"/>
      <c r="D508" s="169"/>
      <c r="E508" s="172"/>
      <c r="F508" s="164"/>
      <c r="G508" s="164"/>
      <c r="H508" s="409"/>
      <c r="I508" s="164"/>
    </row>
    <row r="509" spans="1:9" ht="15.75" customHeight="1" x14ac:dyDescent="0.2">
      <c r="A509" s="164"/>
      <c r="B509" s="170"/>
      <c r="C509" s="170"/>
      <c r="D509" s="169"/>
      <c r="E509" s="172"/>
      <c r="F509" s="164"/>
      <c r="G509" s="164"/>
      <c r="H509" s="409"/>
      <c r="I509" s="164"/>
    </row>
    <row r="510" spans="1:9" ht="15.75" customHeight="1" x14ac:dyDescent="0.2">
      <c r="A510" s="164"/>
      <c r="B510" s="170"/>
      <c r="C510" s="170"/>
      <c r="D510" s="169"/>
      <c r="E510" s="172"/>
      <c r="F510" s="164"/>
      <c r="G510" s="164"/>
      <c r="H510" s="409"/>
      <c r="I510" s="164"/>
    </row>
    <row r="511" spans="1:9" ht="15.75" customHeight="1" x14ac:dyDescent="0.2">
      <c r="A511" s="164"/>
      <c r="B511" s="170"/>
      <c r="C511" s="170"/>
      <c r="D511" s="169"/>
      <c r="E511" s="172"/>
      <c r="F511" s="164"/>
      <c r="G511" s="164"/>
      <c r="H511" s="409"/>
      <c r="I511" s="164"/>
    </row>
    <row r="512" spans="1:9" ht="15.75" customHeight="1" x14ac:dyDescent="0.2">
      <c r="A512" s="164"/>
      <c r="B512" s="170"/>
      <c r="C512" s="170"/>
      <c r="D512" s="169"/>
      <c r="E512" s="172"/>
      <c r="F512" s="164"/>
      <c r="G512" s="164"/>
      <c r="H512" s="409"/>
      <c r="I512" s="164"/>
    </row>
    <row r="513" spans="1:9" ht="15.75" customHeight="1" x14ac:dyDescent="0.2">
      <c r="A513" s="164"/>
      <c r="B513" s="170"/>
      <c r="C513" s="170"/>
      <c r="D513" s="169"/>
      <c r="E513" s="172"/>
      <c r="F513" s="164"/>
      <c r="G513" s="164"/>
      <c r="H513" s="409"/>
      <c r="I513" s="164"/>
    </row>
    <row r="514" spans="1:9" ht="15.75" customHeight="1" x14ac:dyDescent="0.2">
      <c r="A514" s="164"/>
      <c r="B514" s="170"/>
      <c r="C514" s="170"/>
      <c r="D514" s="169"/>
      <c r="E514" s="172"/>
      <c r="F514" s="164"/>
      <c r="G514" s="164"/>
      <c r="H514" s="409"/>
      <c r="I514" s="164"/>
    </row>
    <row r="515" spans="1:9" ht="15.75" customHeight="1" x14ac:dyDescent="0.2">
      <c r="A515" s="164"/>
      <c r="B515" s="170"/>
      <c r="C515" s="170"/>
      <c r="D515" s="169"/>
      <c r="E515" s="172"/>
      <c r="F515" s="164"/>
      <c r="G515" s="164"/>
      <c r="H515" s="409"/>
      <c r="I515" s="164"/>
    </row>
    <row r="516" spans="1:9" ht="15.75" customHeight="1" x14ac:dyDescent="0.2">
      <c r="A516" s="164"/>
      <c r="B516" s="170"/>
      <c r="C516" s="170"/>
      <c r="D516" s="169"/>
      <c r="E516" s="172"/>
      <c r="F516" s="164"/>
      <c r="G516" s="164"/>
      <c r="H516" s="409"/>
      <c r="I516" s="164"/>
    </row>
    <row r="517" spans="1:9" ht="15.75" customHeight="1" x14ac:dyDescent="0.2">
      <c r="A517" s="164"/>
      <c r="B517" s="170"/>
      <c r="C517" s="170"/>
      <c r="D517" s="169"/>
      <c r="E517" s="172"/>
      <c r="F517" s="164"/>
      <c r="G517" s="164"/>
      <c r="H517" s="409"/>
      <c r="I517" s="164"/>
    </row>
    <row r="518" spans="1:9" ht="15.75" customHeight="1" x14ac:dyDescent="0.2">
      <c r="A518" s="164"/>
      <c r="B518" s="170"/>
      <c r="C518" s="170"/>
      <c r="D518" s="169"/>
      <c r="E518" s="172"/>
      <c r="F518" s="164"/>
      <c r="G518" s="164"/>
      <c r="H518" s="409"/>
      <c r="I518" s="164"/>
    </row>
    <row r="519" spans="1:9" ht="15.75" customHeight="1" x14ac:dyDescent="0.2">
      <c r="A519" s="164"/>
      <c r="B519" s="170"/>
      <c r="C519" s="170"/>
      <c r="D519" s="169"/>
      <c r="E519" s="172"/>
      <c r="F519" s="164"/>
      <c r="G519" s="164"/>
      <c r="H519" s="409"/>
      <c r="I519" s="164"/>
    </row>
    <row r="520" spans="1:9" ht="15.75" customHeight="1" x14ac:dyDescent="0.2">
      <c r="A520" s="164"/>
      <c r="B520" s="170"/>
      <c r="C520" s="170"/>
      <c r="D520" s="169"/>
      <c r="E520" s="172"/>
      <c r="F520" s="164"/>
      <c r="G520" s="164"/>
      <c r="H520" s="409"/>
      <c r="I520" s="164"/>
    </row>
    <row r="521" spans="1:9" ht="15.75" customHeight="1" x14ac:dyDescent="0.2">
      <c r="A521" s="164"/>
      <c r="B521" s="170"/>
      <c r="C521" s="170"/>
      <c r="D521" s="169"/>
      <c r="E521" s="172"/>
      <c r="F521" s="164"/>
      <c r="G521" s="164"/>
      <c r="H521" s="409"/>
      <c r="I521" s="164"/>
    </row>
    <row r="522" spans="1:9" ht="15.75" customHeight="1" x14ac:dyDescent="0.2">
      <c r="A522" s="164"/>
      <c r="B522" s="170"/>
      <c r="C522" s="170"/>
      <c r="D522" s="169"/>
      <c r="E522" s="172"/>
      <c r="F522" s="164"/>
      <c r="G522" s="164"/>
      <c r="H522" s="409"/>
      <c r="I522" s="164"/>
    </row>
    <row r="523" spans="1:9" ht="15.75" customHeight="1" x14ac:dyDescent="0.2">
      <c r="A523" s="164"/>
      <c r="B523" s="170"/>
      <c r="C523" s="170"/>
      <c r="D523" s="169"/>
      <c r="E523" s="172"/>
      <c r="F523" s="164"/>
      <c r="G523" s="164"/>
      <c r="H523" s="409"/>
      <c r="I523" s="164"/>
    </row>
    <row r="524" spans="1:9" ht="15.75" customHeight="1" x14ac:dyDescent="0.2">
      <c r="A524" s="164"/>
      <c r="B524" s="170"/>
      <c r="C524" s="170"/>
      <c r="D524" s="169"/>
      <c r="E524" s="172"/>
      <c r="F524" s="164"/>
      <c r="G524" s="164"/>
      <c r="H524" s="409"/>
      <c r="I524" s="164"/>
    </row>
    <row r="525" spans="1:9" ht="15.75" customHeight="1" x14ac:dyDescent="0.2">
      <c r="A525" s="164"/>
      <c r="B525" s="170"/>
      <c r="C525" s="170"/>
      <c r="D525" s="169"/>
      <c r="E525" s="172"/>
      <c r="F525" s="164"/>
      <c r="G525" s="164"/>
      <c r="H525" s="409"/>
      <c r="I525" s="164"/>
    </row>
    <row r="526" spans="1:9" ht="15.75" customHeight="1" x14ac:dyDescent="0.2">
      <c r="A526" s="164"/>
      <c r="B526" s="170"/>
      <c r="C526" s="170"/>
      <c r="D526" s="169"/>
      <c r="E526" s="172"/>
      <c r="F526" s="164"/>
      <c r="G526" s="164"/>
      <c r="H526" s="409"/>
      <c r="I526" s="164"/>
    </row>
    <row r="527" spans="1:9" ht="15.75" customHeight="1" x14ac:dyDescent="0.2">
      <c r="A527" s="164"/>
      <c r="B527" s="170"/>
      <c r="C527" s="170"/>
      <c r="D527" s="169"/>
      <c r="E527" s="172"/>
      <c r="F527" s="164"/>
      <c r="G527" s="164"/>
      <c r="H527" s="409"/>
      <c r="I527" s="164"/>
    </row>
    <row r="528" spans="1:9" ht="15.75" customHeight="1" x14ac:dyDescent="0.2">
      <c r="A528" s="164"/>
      <c r="B528" s="170"/>
      <c r="C528" s="170"/>
      <c r="D528" s="169"/>
      <c r="E528" s="172"/>
      <c r="F528" s="164"/>
      <c r="G528" s="164"/>
      <c r="H528" s="409"/>
      <c r="I528" s="164"/>
    </row>
    <row r="529" spans="1:9" ht="15.75" customHeight="1" x14ac:dyDescent="0.2">
      <c r="A529" s="164"/>
      <c r="B529" s="170"/>
      <c r="C529" s="170"/>
      <c r="D529" s="169"/>
      <c r="E529" s="172"/>
      <c r="F529" s="164"/>
      <c r="G529" s="164"/>
      <c r="H529" s="409"/>
      <c r="I529" s="164"/>
    </row>
    <row r="530" spans="1:9" ht="15.75" customHeight="1" x14ac:dyDescent="0.2">
      <c r="A530" s="164"/>
      <c r="B530" s="170"/>
      <c r="C530" s="170"/>
      <c r="D530" s="169"/>
      <c r="E530" s="172"/>
      <c r="F530" s="164"/>
      <c r="G530" s="164"/>
      <c r="H530" s="409"/>
      <c r="I530" s="164"/>
    </row>
    <row r="531" spans="1:9" ht="15.75" customHeight="1" x14ac:dyDescent="0.2">
      <c r="A531" s="164"/>
      <c r="B531" s="170"/>
      <c r="C531" s="170"/>
      <c r="D531" s="169"/>
      <c r="E531" s="172"/>
      <c r="F531" s="164"/>
      <c r="G531" s="164"/>
      <c r="H531" s="409"/>
      <c r="I531" s="164"/>
    </row>
    <row r="532" spans="1:9" ht="15.75" customHeight="1" x14ac:dyDescent="0.2">
      <c r="A532" s="164"/>
      <c r="B532" s="170"/>
      <c r="C532" s="170"/>
      <c r="D532" s="169"/>
      <c r="E532" s="172"/>
      <c r="F532" s="164"/>
      <c r="G532" s="164"/>
      <c r="H532" s="409"/>
      <c r="I532" s="164"/>
    </row>
    <row r="533" spans="1:9" ht="15.75" customHeight="1" x14ac:dyDescent="0.2">
      <c r="A533" s="164"/>
      <c r="B533" s="170"/>
      <c r="C533" s="170"/>
      <c r="D533" s="169"/>
      <c r="E533" s="172"/>
      <c r="F533" s="164"/>
      <c r="G533" s="164"/>
      <c r="H533" s="409"/>
      <c r="I533" s="164"/>
    </row>
    <row r="534" spans="1:9" ht="15.75" customHeight="1" x14ac:dyDescent="0.2">
      <c r="A534" s="164"/>
      <c r="B534" s="170"/>
      <c r="C534" s="170"/>
      <c r="D534" s="169"/>
      <c r="E534" s="172"/>
      <c r="F534" s="164"/>
      <c r="G534" s="164"/>
      <c r="H534" s="409"/>
      <c r="I534" s="164"/>
    </row>
    <row r="535" spans="1:9" ht="15.75" customHeight="1" x14ac:dyDescent="0.2">
      <c r="A535" s="164"/>
      <c r="B535" s="170"/>
      <c r="C535" s="170"/>
      <c r="D535" s="169"/>
      <c r="E535" s="172"/>
      <c r="F535" s="164"/>
      <c r="G535" s="164"/>
      <c r="H535" s="409"/>
      <c r="I535" s="164"/>
    </row>
    <row r="536" spans="1:9" ht="15.75" customHeight="1" x14ac:dyDescent="0.2">
      <c r="A536" s="164"/>
      <c r="B536" s="170"/>
      <c r="C536" s="170"/>
      <c r="D536" s="169"/>
      <c r="E536" s="172"/>
      <c r="F536" s="164"/>
      <c r="G536" s="164"/>
      <c r="H536" s="409"/>
      <c r="I536" s="164"/>
    </row>
    <row r="537" spans="1:9" ht="15.75" customHeight="1" x14ac:dyDescent="0.2">
      <c r="A537" s="164"/>
      <c r="B537" s="170"/>
      <c r="C537" s="170"/>
      <c r="D537" s="169"/>
      <c r="E537" s="172"/>
      <c r="F537" s="164"/>
      <c r="G537" s="164"/>
      <c r="H537" s="409"/>
      <c r="I537" s="164"/>
    </row>
    <row r="538" spans="1:9" ht="15.75" customHeight="1" x14ac:dyDescent="0.2">
      <c r="A538" s="164"/>
      <c r="B538" s="170"/>
      <c r="C538" s="170"/>
      <c r="D538" s="169"/>
      <c r="E538" s="172"/>
      <c r="F538" s="164"/>
      <c r="G538" s="164"/>
      <c r="H538" s="409"/>
      <c r="I538" s="164"/>
    </row>
    <row r="539" spans="1:9" ht="15.75" customHeight="1" x14ac:dyDescent="0.2">
      <c r="A539" s="164"/>
      <c r="B539" s="170"/>
      <c r="C539" s="170"/>
      <c r="D539" s="169"/>
      <c r="E539" s="172"/>
      <c r="F539" s="164"/>
      <c r="G539" s="164"/>
      <c r="H539" s="409"/>
      <c r="I539" s="164"/>
    </row>
    <row r="540" spans="1:9" ht="15.75" customHeight="1" x14ac:dyDescent="0.2">
      <c r="A540" s="164"/>
      <c r="B540" s="170"/>
      <c r="C540" s="170"/>
      <c r="D540" s="169"/>
      <c r="E540" s="172"/>
      <c r="F540" s="164"/>
      <c r="G540" s="164"/>
      <c r="H540" s="409"/>
      <c r="I540" s="164"/>
    </row>
    <row r="541" spans="1:9" ht="15.75" customHeight="1" x14ac:dyDescent="0.2">
      <c r="A541" s="164"/>
      <c r="B541" s="170"/>
      <c r="C541" s="170"/>
      <c r="D541" s="169"/>
      <c r="E541" s="172"/>
      <c r="F541" s="164"/>
      <c r="G541" s="164"/>
      <c r="H541" s="409"/>
      <c r="I541" s="164"/>
    </row>
    <row r="542" spans="1:9" ht="15.75" customHeight="1" x14ac:dyDescent="0.2">
      <c r="A542" s="164"/>
      <c r="B542" s="170"/>
      <c r="C542" s="170"/>
      <c r="D542" s="169"/>
      <c r="E542" s="172"/>
      <c r="F542" s="164"/>
      <c r="G542" s="164"/>
      <c r="H542" s="409"/>
      <c r="I542" s="164"/>
    </row>
    <row r="543" spans="1:9" ht="15.75" customHeight="1" x14ac:dyDescent="0.2">
      <c r="A543" s="164"/>
      <c r="B543" s="170"/>
      <c r="C543" s="170"/>
      <c r="D543" s="169"/>
      <c r="E543" s="172"/>
      <c r="F543" s="164"/>
      <c r="G543" s="164"/>
      <c r="H543" s="409"/>
      <c r="I543" s="164"/>
    </row>
    <row r="544" spans="1:9" ht="15.75" customHeight="1" x14ac:dyDescent="0.2">
      <c r="A544" s="164"/>
      <c r="B544" s="170"/>
      <c r="C544" s="170"/>
      <c r="D544" s="169"/>
      <c r="E544" s="172"/>
      <c r="F544" s="164"/>
      <c r="G544" s="164"/>
      <c r="H544" s="409"/>
      <c r="I544" s="164"/>
    </row>
    <row r="545" spans="1:9" ht="15.75" customHeight="1" x14ac:dyDescent="0.2">
      <c r="A545" s="164"/>
      <c r="B545" s="170"/>
      <c r="C545" s="170"/>
      <c r="D545" s="169"/>
      <c r="E545" s="172"/>
      <c r="F545" s="164"/>
      <c r="G545" s="164"/>
      <c r="H545" s="409"/>
      <c r="I545" s="164"/>
    </row>
    <row r="546" spans="1:9" ht="15.75" customHeight="1" x14ac:dyDescent="0.2">
      <c r="A546" s="164"/>
      <c r="B546" s="170"/>
      <c r="C546" s="170"/>
      <c r="D546" s="169"/>
      <c r="E546" s="172"/>
      <c r="F546" s="164"/>
      <c r="G546" s="164"/>
      <c r="H546" s="409"/>
      <c r="I546" s="164"/>
    </row>
    <row r="547" spans="1:9" ht="15.75" customHeight="1" x14ac:dyDescent="0.2">
      <c r="A547" s="164"/>
      <c r="B547" s="170"/>
      <c r="C547" s="170"/>
      <c r="D547" s="169"/>
      <c r="E547" s="172"/>
      <c r="F547" s="164"/>
      <c r="G547" s="164"/>
      <c r="H547" s="409"/>
      <c r="I547" s="164"/>
    </row>
    <row r="548" spans="1:9" ht="15.75" customHeight="1" x14ac:dyDescent="0.2">
      <c r="A548" s="164"/>
      <c r="B548" s="170"/>
      <c r="C548" s="170"/>
      <c r="D548" s="169"/>
      <c r="E548" s="172"/>
      <c r="F548" s="164"/>
      <c r="G548" s="164"/>
      <c r="H548" s="409"/>
      <c r="I548" s="164"/>
    </row>
    <row r="549" spans="1:9" ht="15.75" customHeight="1" x14ac:dyDescent="0.2">
      <c r="A549" s="164"/>
      <c r="B549" s="170"/>
      <c r="C549" s="170"/>
      <c r="D549" s="169"/>
      <c r="E549" s="172"/>
      <c r="F549" s="164"/>
      <c r="G549" s="164"/>
      <c r="H549" s="409"/>
      <c r="I549" s="164"/>
    </row>
    <row r="550" spans="1:9" ht="15.75" customHeight="1" x14ac:dyDescent="0.2">
      <c r="A550" s="164"/>
      <c r="B550" s="170"/>
      <c r="C550" s="170"/>
      <c r="D550" s="169"/>
      <c r="E550" s="172"/>
      <c r="F550" s="164"/>
      <c r="G550" s="164"/>
      <c r="H550" s="409"/>
      <c r="I550" s="164"/>
    </row>
    <row r="551" spans="1:9" ht="15.75" customHeight="1" x14ac:dyDescent="0.2">
      <c r="A551" s="164"/>
      <c r="B551" s="170"/>
      <c r="C551" s="170"/>
      <c r="D551" s="169"/>
      <c r="E551" s="172"/>
      <c r="F551" s="164"/>
      <c r="G551" s="164"/>
      <c r="H551" s="409"/>
      <c r="I551" s="164"/>
    </row>
    <row r="552" spans="1:9" ht="15.75" customHeight="1" x14ac:dyDescent="0.2">
      <c r="A552" s="164"/>
      <c r="B552" s="170"/>
      <c r="C552" s="170"/>
      <c r="D552" s="169"/>
      <c r="E552" s="172"/>
      <c r="F552" s="164"/>
      <c r="G552" s="164"/>
      <c r="H552" s="409"/>
      <c r="I552" s="164"/>
    </row>
    <row r="553" spans="1:9" ht="15.75" customHeight="1" x14ac:dyDescent="0.2">
      <c r="A553" s="164"/>
      <c r="B553" s="170"/>
      <c r="C553" s="170"/>
      <c r="D553" s="169"/>
      <c r="E553" s="172"/>
      <c r="F553" s="164"/>
      <c r="G553" s="164"/>
      <c r="H553" s="409"/>
      <c r="I553" s="164"/>
    </row>
    <row r="554" spans="1:9" ht="15.75" customHeight="1" x14ac:dyDescent="0.2">
      <c r="A554" s="164"/>
      <c r="B554" s="170"/>
      <c r="C554" s="170"/>
      <c r="D554" s="169"/>
      <c r="E554" s="172"/>
      <c r="F554" s="164"/>
      <c r="G554" s="164"/>
      <c r="H554" s="409"/>
      <c r="I554" s="164"/>
    </row>
    <row r="555" spans="1:9" ht="15.75" customHeight="1" x14ac:dyDescent="0.2">
      <c r="A555" s="164"/>
      <c r="B555" s="170"/>
      <c r="C555" s="170"/>
      <c r="D555" s="169"/>
      <c r="E555" s="172"/>
      <c r="F555" s="164"/>
      <c r="G555" s="164"/>
      <c r="H555" s="409"/>
      <c r="I555" s="164"/>
    </row>
    <row r="556" spans="1:9" ht="15.75" customHeight="1" x14ac:dyDescent="0.2">
      <c r="A556" s="164"/>
      <c r="B556" s="170"/>
      <c r="C556" s="170"/>
      <c r="D556" s="169"/>
      <c r="E556" s="172"/>
      <c r="F556" s="164"/>
      <c r="G556" s="164"/>
      <c r="H556" s="409"/>
      <c r="I556" s="164"/>
    </row>
    <row r="557" spans="1:9" ht="15.75" customHeight="1" x14ac:dyDescent="0.2">
      <c r="A557" s="164"/>
      <c r="B557" s="170"/>
      <c r="C557" s="170"/>
      <c r="D557" s="169"/>
      <c r="E557" s="172"/>
      <c r="F557" s="164"/>
      <c r="G557" s="164"/>
      <c r="H557" s="409"/>
      <c r="I557" s="164"/>
    </row>
    <row r="558" spans="1:9" ht="15.75" customHeight="1" x14ac:dyDescent="0.2">
      <c r="A558" s="164"/>
      <c r="B558" s="170"/>
      <c r="C558" s="170"/>
      <c r="D558" s="169"/>
      <c r="E558" s="172"/>
      <c r="F558" s="164"/>
      <c r="G558" s="164"/>
      <c r="H558" s="409"/>
      <c r="I558" s="164"/>
    </row>
    <row r="559" spans="1:9" ht="15.75" customHeight="1" x14ac:dyDescent="0.2">
      <c r="A559" s="164"/>
      <c r="B559" s="170"/>
      <c r="C559" s="170"/>
      <c r="D559" s="169"/>
      <c r="E559" s="172"/>
      <c r="F559" s="164"/>
      <c r="G559" s="164"/>
      <c r="H559" s="409"/>
      <c r="I559" s="164"/>
    </row>
    <row r="560" spans="1:9" ht="15.75" customHeight="1" x14ac:dyDescent="0.2">
      <c r="A560" s="164"/>
      <c r="B560" s="170"/>
      <c r="C560" s="170"/>
      <c r="D560" s="169"/>
      <c r="E560" s="172"/>
      <c r="F560" s="164"/>
      <c r="G560" s="164"/>
      <c r="H560" s="409"/>
      <c r="I560" s="164"/>
    </row>
    <row r="561" spans="1:9" ht="15.75" customHeight="1" x14ac:dyDescent="0.2">
      <c r="A561" s="164"/>
      <c r="B561" s="170"/>
      <c r="C561" s="170"/>
      <c r="D561" s="169"/>
      <c r="E561" s="172"/>
      <c r="F561" s="164"/>
      <c r="G561" s="164"/>
      <c r="H561" s="409"/>
      <c r="I561" s="164"/>
    </row>
    <row r="562" spans="1:9" ht="15.75" customHeight="1" x14ac:dyDescent="0.2">
      <c r="A562" s="164"/>
      <c r="B562" s="170"/>
      <c r="C562" s="170"/>
      <c r="D562" s="169"/>
      <c r="E562" s="172"/>
      <c r="F562" s="164"/>
      <c r="G562" s="164"/>
      <c r="H562" s="409"/>
      <c r="I562" s="164"/>
    </row>
    <row r="563" spans="1:9" ht="15.75" customHeight="1" x14ac:dyDescent="0.2">
      <c r="A563" s="164"/>
      <c r="B563" s="170"/>
      <c r="C563" s="170"/>
      <c r="D563" s="169"/>
      <c r="E563" s="172"/>
      <c r="F563" s="164"/>
      <c r="G563" s="164"/>
      <c r="H563" s="409"/>
      <c r="I563" s="164"/>
    </row>
    <row r="564" spans="1:9" ht="15.75" customHeight="1" x14ac:dyDescent="0.2">
      <c r="A564" s="164"/>
      <c r="B564" s="170"/>
      <c r="C564" s="170"/>
      <c r="D564" s="169"/>
      <c r="E564" s="172"/>
      <c r="F564" s="164"/>
      <c r="G564" s="164"/>
      <c r="H564" s="409"/>
      <c r="I564" s="164"/>
    </row>
    <row r="565" spans="1:9" ht="15.75" customHeight="1" x14ac:dyDescent="0.2">
      <c r="A565" s="164"/>
      <c r="B565" s="170"/>
      <c r="C565" s="170"/>
      <c r="D565" s="169"/>
      <c r="E565" s="172"/>
      <c r="F565" s="164"/>
      <c r="G565" s="164"/>
      <c r="H565" s="409"/>
      <c r="I565" s="164"/>
    </row>
    <row r="566" spans="1:9" ht="15.75" customHeight="1" x14ac:dyDescent="0.2">
      <c r="A566" s="164"/>
      <c r="B566" s="170"/>
      <c r="C566" s="170"/>
      <c r="D566" s="169"/>
      <c r="E566" s="172"/>
      <c r="F566" s="164"/>
      <c r="G566" s="164"/>
      <c r="H566" s="409"/>
      <c r="I566" s="164"/>
    </row>
    <row r="567" spans="1:9" ht="15.75" customHeight="1" x14ac:dyDescent="0.2">
      <c r="A567" s="164"/>
      <c r="B567" s="170"/>
      <c r="C567" s="170"/>
      <c r="D567" s="169"/>
      <c r="E567" s="172"/>
      <c r="F567" s="164"/>
      <c r="G567" s="164"/>
      <c r="H567" s="409"/>
      <c r="I567" s="164"/>
    </row>
    <row r="568" spans="1:9" ht="15.75" customHeight="1" x14ac:dyDescent="0.2">
      <c r="A568" s="164"/>
      <c r="B568" s="170"/>
      <c r="C568" s="170"/>
      <c r="D568" s="169"/>
      <c r="E568" s="172"/>
      <c r="F568" s="164"/>
      <c r="G568" s="164"/>
      <c r="H568" s="409"/>
      <c r="I568" s="164"/>
    </row>
    <row r="569" spans="1:9" ht="15.75" customHeight="1" x14ac:dyDescent="0.2">
      <c r="A569" s="164"/>
      <c r="B569" s="170"/>
      <c r="C569" s="170"/>
      <c r="D569" s="169"/>
      <c r="E569" s="172"/>
      <c r="F569" s="164"/>
      <c r="G569" s="164"/>
      <c r="H569" s="409"/>
      <c r="I569" s="164"/>
    </row>
    <row r="570" spans="1:9" ht="15.75" customHeight="1" x14ac:dyDescent="0.2">
      <c r="A570" s="164"/>
      <c r="B570" s="170"/>
      <c r="C570" s="170"/>
      <c r="D570" s="169"/>
      <c r="E570" s="172"/>
      <c r="F570" s="164"/>
      <c r="G570" s="164"/>
      <c r="H570" s="409"/>
      <c r="I570" s="164"/>
    </row>
    <row r="571" spans="1:9" ht="15.75" customHeight="1" x14ac:dyDescent="0.2">
      <c r="A571" s="164"/>
      <c r="B571" s="170"/>
      <c r="C571" s="170"/>
      <c r="D571" s="169"/>
      <c r="E571" s="172"/>
      <c r="F571" s="164"/>
      <c r="G571" s="164"/>
      <c r="H571" s="409"/>
      <c r="I571" s="164"/>
    </row>
    <row r="572" spans="1:9" ht="15.75" customHeight="1" x14ac:dyDescent="0.2">
      <c r="A572" s="164"/>
      <c r="B572" s="170"/>
      <c r="C572" s="170"/>
      <c r="D572" s="169"/>
      <c r="E572" s="172"/>
      <c r="F572" s="164"/>
      <c r="G572" s="164"/>
      <c r="H572" s="409"/>
      <c r="I572" s="164"/>
    </row>
    <row r="573" spans="1:9" ht="15.75" customHeight="1" x14ac:dyDescent="0.2">
      <c r="A573" s="164"/>
      <c r="B573" s="170"/>
      <c r="C573" s="170"/>
      <c r="D573" s="169"/>
      <c r="E573" s="172"/>
      <c r="F573" s="164"/>
      <c r="G573" s="164"/>
      <c r="H573" s="409"/>
      <c r="I573" s="164"/>
    </row>
    <row r="574" spans="1:9" ht="15.75" customHeight="1" x14ac:dyDescent="0.2">
      <c r="A574" s="164"/>
      <c r="B574" s="170"/>
      <c r="C574" s="170"/>
      <c r="D574" s="169"/>
      <c r="E574" s="172"/>
      <c r="F574" s="164"/>
      <c r="G574" s="164"/>
      <c r="H574" s="409"/>
      <c r="I574" s="164"/>
    </row>
    <row r="575" spans="1:9" ht="15.75" customHeight="1" x14ac:dyDescent="0.2">
      <c r="A575" s="164"/>
      <c r="B575" s="170"/>
      <c r="C575" s="170"/>
      <c r="D575" s="169"/>
      <c r="E575" s="172"/>
      <c r="F575" s="164"/>
      <c r="G575" s="164"/>
      <c r="H575" s="409"/>
      <c r="I575" s="164"/>
    </row>
    <row r="576" spans="1:9" ht="15.75" customHeight="1" x14ac:dyDescent="0.2">
      <c r="A576" s="164"/>
      <c r="B576" s="170"/>
      <c r="C576" s="170"/>
      <c r="D576" s="169"/>
      <c r="E576" s="172"/>
      <c r="F576" s="164"/>
      <c r="G576" s="164"/>
      <c r="H576" s="409"/>
      <c r="I576" s="164"/>
    </row>
    <row r="577" spans="1:9" ht="15.75" customHeight="1" x14ac:dyDescent="0.2">
      <c r="A577" s="164"/>
      <c r="B577" s="170"/>
      <c r="C577" s="170"/>
      <c r="D577" s="169"/>
      <c r="E577" s="172"/>
      <c r="F577" s="164"/>
      <c r="G577" s="164"/>
      <c r="H577" s="409"/>
      <c r="I577" s="164"/>
    </row>
    <row r="578" spans="1:9" ht="15.75" customHeight="1" x14ac:dyDescent="0.2">
      <c r="A578" s="164"/>
      <c r="B578" s="170"/>
      <c r="C578" s="170"/>
      <c r="D578" s="169"/>
      <c r="E578" s="172"/>
      <c r="F578" s="164"/>
      <c r="G578" s="164"/>
      <c r="H578" s="409"/>
      <c r="I578" s="164"/>
    </row>
    <row r="579" spans="1:9" ht="15.75" customHeight="1" x14ac:dyDescent="0.2">
      <c r="A579" s="164"/>
      <c r="B579" s="170"/>
      <c r="C579" s="170"/>
      <c r="D579" s="169"/>
      <c r="E579" s="172"/>
      <c r="F579" s="164"/>
      <c r="G579" s="164"/>
      <c r="H579" s="409"/>
      <c r="I579" s="164"/>
    </row>
    <row r="580" spans="1:9" ht="15.75" customHeight="1" x14ac:dyDescent="0.2">
      <c r="A580" s="164"/>
      <c r="B580" s="170"/>
      <c r="C580" s="170"/>
      <c r="D580" s="169"/>
      <c r="E580" s="172"/>
      <c r="F580" s="164"/>
      <c r="G580" s="164"/>
      <c r="H580" s="409"/>
      <c r="I580" s="164"/>
    </row>
    <row r="581" spans="1:9" ht="15.75" customHeight="1" x14ac:dyDescent="0.2">
      <c r="A581" s="164"/>
      <c r="B581" s="170"/>
      <c r="C581" s="170"/>
      <c r="D581" s="169"/>
      <c r="E581" s="172"/>
      <c r="F581" s="164"/>
      <c r="G581" s="164"/>
      <c r="H581" s="409"/>
      <c r="I581" s="164"/>
    </row>
    <row r="582" spans="1:9" ht="15.75" customHeight="1" x14ac:dyDescent="0.2">
      <c r="A582" s="164"/>
      <c r="B582" s="170"/>
      <c r="C582" s="170"/>
      <c r="D582" s="169"/>
      <c r="E582" s="172"/>
      <c r="F582" s="164"/>
      <c r="G582" s="164"/>
      <c r="H582" s="409"/>
      <c r="I582" s="164"/>
    </row>
    <row r="583" spans="1:9" ht="15.75" customHeight="1" x14ac:dyDescent="0.2">
      <c r="A583" s="164"/>
      <c r="B583" s="170"/>
      <c r="C583" s="170"/>
      <c r="D583" s="169"/>
      <c r="E583" s="172"/>
      <c r="F583" s="164"/>
      <c r="G583" s="164"/>
      <c r="H583" s="409"/>
      <c r="I583" s="164"/>
    </row>
    <row r="584" spans="1:9" ht="15.75" customHeight="1" x14ac:dyDescent="0.2">
      <c r="A584" s="164"/>
      <c r="B584" s="170"/>
      <c r="C584" s="170"/>
      <c r="D584" s="169"/>
      <c r="E584" s="172"/>
      <c r="F584" s="164"/>
      <c r="G584" s="164"/>
      <c r="H584" s="409"/>
      <c r="I584" s="164"/>
    </row>
    <row r="585" spans="1:9" ht="15.75" customHeight="1" x14ac:dyDescent="0.2">
      <c r="A585" s="164"/>
      <c r="B585" s="170"/>
      <c r="C585" s="170"/>
      <c r="D585" s="169"/>
      <c r="E585" s="172"/>
      <c r="F585" s="164"/>
      <c r="G585" s="164"/>
      <c r="H585" s="409"/>
      <c r="I585" s="164"/>
    </row>
    <row r="586" spans="1:9" ht="15.75" customHeight="1" x14ac:dyDescent="0.2">
      <c r="A586" s="164"/>
      <c r="B586" s="170"/>
      <c r="C586" s="170"/>
      <c r="D586" s="169"/>
      <c r="E586" s="172"/>
      <c r="F586" s="164"/>
      <c r="G586" s="164"/>
      <c r="H586" s="409"/>
      <c r="I586" s="164"/>
    </row>
    <row r="587" spans="1:9" ht="15.75" customHeight="1" x14ac:dyDescent="0.2">
      <c r="A587" s="164"/>
      <c r="B587" s="170"/>
      <c r="C587" s="170"/>
      <c r="D587" s="169"/>
      <c r="E587" s="172"/>
      <c r="F587" s="164"/>
      <c r="G587" s="164"/>
      <c r="H587" s="409"/>
      <c r="I587" s="164"/>
    </row>
    <row r="588" spans="1:9" ht="15.75" customHeight="1" x14ac:dyDescent="0.2">
      <c r="A588" s="164"/>
      <c r="B588" s="170"/>
      <c r="C588" s="170"/>
      <c r="D588" s="169"/>
      <c r="E588" s="172"/>
      <c r="F588" s="164"/>
      <c r="G588" s="164"/>
      <c r="H588" s="409"/>
      <c r="I588" s="164"/>
    </row>
    <row r="589" spans="1:9" ht="15.75" customHeight="1" x14ac:dyDescent="0.2">
      <c r="A589" s="164"/>
      <c r="B589" s="170"/>
      <c r="C589" s="170"/>
      <c r="D589" s="169"/>
      <c r="E589" s="172"/>
      <c r="F589" s="164"/>
      <c r="G589" s="164"/>
      <c r="H589" s="409"/>
      <c r="I589" s="164"/>
    </row>
    <row r="590" spans="1:9" ht="15.75" customHeight="1" x14ac:dyDescent="0.2">
      <c r="A590" s="164"/>
      <c r="B590" s="170"/>
      <c r="C590" s="170"/>
      <c r="D590" s="169"/>
      <c r="E590" s="172"/>
      <c r="F590" s="164"/>
      <c r="G590" s="164"/>
      <c r="H590" s="409"/>
      <c r="I590" s="164"/>
    </row>
    <row r="591" spans="1:9" ht="15.75" customHeight="1" x14ac:dyDescent="0.2">
      <c r="A591" s="164"/>
      <c r="B591" s="170"/>
      <c r="C591" s="170"/>
      <c r="D591" s="169"/>
      <c r="E591" s="172"/>
      <c r="F591" s="164"/>
      <c r="G591" s="164"/>
      <c r="H591" s="409"/>
      <c r="I591" s="164"/>
    </row>
    <row r="592" spans="1:9" ht="15.75" customHeight="1" x14ac:dyDescent="0.2">
      <c r="A592" s="164"/>
      <c r="B592" s="170"/>
      <c r="C592" s="170"/>
      <c r="D592" s="169"/>
      <c r="E592" s="172"/>
      <c r="F592" s="164"/>
      <c r="G592" s="164"/>
      <c r="H592" s="409"/>
      <c r="I592" s="164"/>
    </row>
    <row r="593" spans="1:9" ht="15.75" customHeight="1" x14ac:dyDescent="0.2">
      <c r="A593" s="164"/>
      <c r="B593" s="170"/>
      <c r="C593" s="170"/>
      <c r="D593" s="169"/>
      <c r="E593" s="172"/>
      <c r="F593" s="164"/>
      <c r="G593" s="164"/>
      <c r="H593" s="409"/>
      <c r="I593" s="164"/>
    </row>
    <row r="594" spans="1:9" ht="15.75" customHeight="1" x14ac:dyDescent="0.2">
      <c r="A594" s="164"/>
      <c r="B594" s="170"/>
      <c r="C594" s="170"/>
      <c r="D594" s="169"/>
      <c r="E594" s="172"/>
      <c r="F594" s="164"/>
      <c r="G594" s="164"/>
      <c r="H594" s="409"/>
      <c r="I594" s="164"/>
    </row>
    <row r="595" spans="1:9" ht="15.75" customHeight="1" x14ac:dyDescent="0.2">
      <c r="A595" s="164"/>
      <c r="B595" s="170"/>
      <c r="C595" s="170"/>
      <c r="D595" s="169"/>
      <c r="E595" s="172"/>
      <c r="F595" s="164"/>
      <c r="G595" s="164"/>
      <c r="H595" s="409"/>
      <c r="I595" s="164"/>
    </row>
    <row r="596" spans="1:9" ht="15.75" customHeight="1" x14ac:dyDescent="0.2">
      <c r="A596" s="164"/>
      <c r="B596" s="170"/>
      <c r="C596" s="170"/>
      <c r="D596" s="169"/>
      <c r="E596" s="172"/>
      <c r="F596" s="164"/>
      <c r="G596" s="164"/>
      <c r="H596" s="409"/>
      <c r="I596" s="164"/>
    </row>
    <row r="597" spans="1:9" ht="15.75" customHeight="1" x14ac:dyDescent="0.2">
      <c r="A597" s="164"/>
      <c r="B597" s="170"/>
      <c r="C597" s="170"/>
      <c r="D597" s="169"/>
      <c r="E597" s="172"/>
      <c r="F597" s="164"/>
      <c r="G597" s="164"/>
      <c r="H597" s="409"/>
      <c r="I597" s="164"/>
    </row>
    <row r="598" spans="1:9" ht="15.75" customHeight="1" x14ac:dyDescent="0.2">
      <c r="A598" s="164"/>
      <c r="B598" s="170"/>
      <c r="C598" s="170"/>
      <c r="D598" s="169"/>
      <c r="E598" s="172"/>
      <c r="F598" s="164"/>
      <c r="G598" s="164"/>
      <c r="H598" s="409"/>
      <c r="I598" s="164"/>
    </row>
    <row r="599" spans="1:9" ht="15.75" customHeight="1" x14ac:dyDescent="0.2">
      <c r="A599" s="164"/>
      <c r="B599" s="170"/>
      <c r="C599" s="170"/>
      <c r="D599" s="169"/>
      <c r="E599" s="172"/>
      <c r="F599" s="164"/>
      <c r="G599" s="164"/>
      <c r="H599" s="409"/>
      <c r="I599" s="164"/>
    </row>
    <row r="600" spans="1:9" ht="15.75" customHeight="1" x14ac:dyDescent="0.2">
      <c r="A600" s="164"/>
      <c r="B600" s="170"/>
      <c r="C600" s="170"/>
      <c r="D600" s="169"/>
      <c r="E600" s="172"/>
      <c r="F600" s="164"/>
      <c r="G600" s="164"/>
      <c r="H600" s="409"/>
      <c r="I600" s="164"/>
    </row>
    <row r="601" spans="1:9" ht="15.75" customHeight="1" x14ac:dyDescent="0.2">
      <c r="A601" s="164"/>
      <c r="B601" s="170"/>
      <c r="C601" s="170"/>
      <c r="D601" s="169"/>
      <c r="E601" s="172"/>
      <c r="F601" s="164"/>
      <c r="G601" s="164"/>
      <c r="H601" s="409"/>
      <c r="I601" s="164"/>
    </row>
    <row r="602" spans="1:9" ht="15.75" customHeight="1" x14ac:dyDescent="0.2">
      <c r="A602" s="164"/>
      <c r="B602" s="170"/>
      <c r="C602" s="170"/>
      <c r="D602" s="169"/>
      <c r="E602" s="172"/>
      <c r="F602" s="164"/>
      <c r="G602" s="164"/>
      <c r="H602" s="409"/>
      <c r="I602" s="164"/>
    </row>
    <row r="603" spans="1:9" ht="15.75" customHeight="1" x14ac:dyDescent="0.2">
      <c r="A603" s="164"/>
      <c r="B603" s="170"/>
      <c r="C603" s="170"/>
      <c r="D603" s="169"/>
      <c r="E603" s="172"/>
      <c r="F603" s="164"/>
      <c r="G603" s="164"/>
      <c r="H603" s="409"/>
      <c r="I603" s="164"/>
    </row>
    <row r="604" spans="1:9" ht="15.75" customHeight="1" x14ac:dyDescent="0.2">
      <c r="A604" s="164"/>
      <c r="B604" s="170"/>
      <c r="C604" s="170"/>
      <c r="D604" s="169"/>
      <c r="E604" s="172"/>
      <c r="F604" s="164"/>
      <c r="G604" s="164"/>
      <c r="H604" s="409"/>
      <c r="I604" s="164"/>
    </row>
    <row r="605" spans="1:9" ht="15.75" customHeight="1" x14ac:dyDescent="0.2">
      <c r="A605" s="164"/>
      <c r="B605" s="170"/>
      <c r="C605" s="170"/>
      <c r="D605" s="169"/>
      <c r="E605" s="172"/>
      <c r="F605" s="164"/>
      <c r="G605" s="164"/>
      <c r="H605" s="409"/>
      <c r="I605" s="164"/>
    </row>
    <row r="606" spans="1:9" ht="15.75" customHeight="1" x14ac:dyDescent="0.2">
      <c r="A606" s="164"/>
      <c r="B606" s="170"/>
      <c r="C606" s="170"/>
      <c r="D606" s="169"/>
      <c r="E606" s="172"/>
      <c r="F606" s="164"/>
      <c r="G606" s="164"/>
      <c r="H606" s="409"/>
      <c r="I606" s="164"/>
    </row>
    <row r="607" spans="1:9" ht="15.75" customHeight="1" x14ac:dyDescent="0.2">
      <c r="A607" s="164"/>
      <c r="B607" s="170"/>
      <c r="C607" s="170"/>
      <c r="D607" s="169"/>
      <c r="E607" s="172"/>
      <c r="F607" s="164"/>
      <c r="G607" s="164"/>
      <c r="H607" s="409"/>
      <c r="I607" s="164"/>
    </row>
    <row r="608" spans="1:9" ht="15.75" customHeight="1" x14ac:dyDescent="0.2">
      <c r="A608" s="164"/>
      <c r="B608" s="170"/>
      <c r="C608" s="170"/>
      <c r="D608" s="169"/>
      <c r="E608" s="172"/>
      <c r="F608" s="164"/>
      <c r="G608" s="164"/>
      <c r="H608" s="409"/>
      <c r="I608" s="164"/>
    </row>
    <row r="609" spans="1:9" ht="15.75" customHeight="1" x14ac:dyDescent="0.2">
      <c r="A609" s="164"/>
      <c r="B609" s="170"/>
      <c r="C609" s="170"/>
      <c r="D609" s="169"/>
      <c r="E609" s="172"/>
      <c r="F609" s="164"/>
      <c r="G609" s="164"/>
      <c r="H609" s="409"/>
      <c r="I609" s="164"/>
    </row>
    <row r="610" spans="1:9" ht="15.75" customHeight="1" x14ac:dyDescent="0.2">
      <c r="A610" s="164"/>
      <c r="B610" s="170"/>
      <c r="C610" s="170"/>
      <c r="D610" s="169"/>
      <c r="E610" s="172"/>
      <c r="F610" s="164"/>
      <c r="G610" s="164"/>
      <c r="H610" s="409"/>
      <c r="I610" s="164"/>
    </row>
    <row r="611" spans="1:9" ht="15.75" customHeight="1" x14ac:dyDescent="0.2">
      <c r="A611" s="164"/>
      <c r="B611" s="170"/>
      <c r="C611" s="170"/>
      <c r="D611" s="169"/>
      <c r="E611" s="172"/>
      <c r="F611" s="164"/>
      <c r="G611" s="164"/>
      <c r="H611" s="409"/>
      <c r="I611" s="164"/>
    </row>
    <row r="612" spans="1:9" ht="15.75" customHeight="1" x14ac:dyDescent="0.2">
      <c r="A612" s="164"/>
      <c r="B612" s="170"/>
      <c r="C612" s="170"/>
      <c r="D612" s="169"/>
      <c r="E612" s="172"/>
      <c r="F612" s="164"/>
      <c r="G612" s="164"/>
      <c r="H612" s="409"/>
      <c r="I612" s="164"/>
    </row>
    <row r="613" spans="1:9" ht="15.75" customHeight="1" x14ac:dyDescent="0.2">
      <c r="A613" s="164"/>
      <c r="B613" s="170"/>
      <c r="C613" s="170"/>
      <c r="D613" s="169"/>
      <c r="E613" s="172"/>
      <c r="F613" s="164"/>
      <c r="G613" s="164"/>
      <c r="H613" s="409"/>
      <c r="I613" s="164"/>
    </row>
    <row r="614" spans="1:9" ht="15.75" customHeight="1" x14ac:dyDescent="0.2">
      <c r="A614" s="164"/>
      <c r="B614" s="170"/>
      <c r="C614" s="170"/>
      <c r="D614" s="169"/>
      <c r="E614" s="172"/>
      <c r="F614" s="164"/>
      <c r="G614" s="164"/>
      <c r="H614" s="409"/>
      <c r="I614" s="164"/>
    </row>
    <row r="615" spans="1:9" ht="15.75" customHeight="1" x14ac:dyDescent="0.2">
      <c r="A615" s="164"/>
      <c r="B615" s="170"/>
      <c r="C615" s="170"/>
      <c r="D615" s="169"/>
      <c r="E615" s="172"/>
      <c r="F615" s="164"/>
      <c r="G615" s="164"/>
      <c r="H615" s="409"/>
      <c r="I615" s="164"/>
    </row>
    <row r="616" spans="1:9" ht="15.75" customHeight="1" x14ac:dyDescent="0.2">
      <c r="A616" s="164"/>
      <c r="B616" s="170"/>
      <c r="C616" s="170"/>
      <c r="D616" s="169"/>
      <c r="E616" s="172"/>
      <c r="F616" s="164"/>
      <c r="G616" s="164"/>
      <c r="H616" s="409"/>
      <c r="I616" s="164"/>
    </row>
    <row r="617" spans="1:9" ht="15.75" customHeight="1" x14ac:dyDescent="0.2">
      <c r="A617" s="164"/>
      <c r="B617" s="170"/>
      <c r="C617" s="170"/>
      <c r="D617" s="169"/>
      <c r="E617" s="172"/>
      <c r="F617" s="164"/>
      <c r="G617" s="164"/>
      <c r="H617" s="409"/>
      <c r="I617" s="164"/>
    </row>
    <row r="618" spans="1:9" ht="15.75" customHeight="1" x14ac:dyDescent="0.2">
      <c r="A618" s="164"/>
      <c r="B618" s="170"/>
      <c r="C618" s="170"/>
      <c r="D618" s="169"/>
      <c r="E618" s="172"/>
      <c r="F618" s="164"/>
      <c r="G618" s="164"/>
      <c r="H618" s="409"/>
      <c r="I618" s="164"/>
    </row>
    <row r="619" spans="1:9" ht="15.75" customHeight="1" x14ac:dyDescent="0.2">
      <c r="A619" s="164"/>
      <c r="B619" s="170"/>
      <c r="C619" s="170"/>
      <c r="D619" s="169"/>
      <c r="E619" s="172"/>
      <c r="F619" s="164"/>
      <c r="G619" s="164"/>
      <c r="H619" s="409"/>
      <c r="I619" s="164"/>
    </row>
    <row r="620" spans="1:9" ht="15.75" customHeight="1" x14ac:dyDescent="0.2">
      <c r="A620" s="164"/>
      <c r="B620" s="170"/>
      <c r="C620" s="170"/>
      <c r="D620" s="169"/>
      <c r="E620" s="172"/>
      <c r="F620" s="164"/>
      <c r="G620" s="164"/>
      <c r="H620" s="409"/>
      <c r="I620" s="164"/>
    </row>
    <row r="621" spans="1:9" ht="15.75" customHeight="1" x14ac:dyDescent="0.2">
      <c r="A621" s="164"/>
      <c r="B621" s="170"/>
      <c r="C621" s="170"/>
      <c r="D621" s="169"/>
      <c r="E621" s="172"/>
      <c r="F621" s="164"/>
      <c r="G621" s="164"/>
      <c r="H621" s="409"/>
      <c r="I621" s="164"/>
    </row>
    <row r="622" spans="1:9" ht="15.75" customHeight="1" x14ac:dyDescent="0.2">
      <c r="A622" s="164"/>
      <c r="B622" s="170"/>
      <c r="C622" s="170"/>
      <c r="D622" s="169"/>
      <c r="E622" s="172"/>
      <c r="F622" s="164"/>
      <c r="G622" s="164"/>
      <c r="H622" s="409"/>
      <c r="I622" s="164"/>
    </row>
    <row r="623" spans="1:9" ht="15.75" customHeight="1" x14ac:dyDescent="0.2">
      <c r="A623" s="164"/>
      <c r="B623" s="170"/>
      <c r="C623" s="170"/>
      <c r="D623" s="169"/>
      <c r="E623" s="172"/>
      <c r="F623" s="164"/>
      <c r="G623" s="164"/>
      <c r="H623" s="409"/>
      <c r="I623" s="164"/>
    </row>
    <row r="624" spans="1:9" ht="15.75" customHeight="1" x14ac:dyDescent="0.2">
      <c r="A624" s="164"/>
      <c r="B624" s="170"/>
      <c r="C624" s="170"/>
      <c r="D624" s="169"/>
      <c r="E624" s="172"/>
      <c r="F624" s="164"/>
      <c r="G624" s="164"/>
      <c r="H624" s="409"/>
      <c r="I624" s="164"/>
    </row>
    <row r="625" spans="1:9" ht="15.75" customHeight="1" x14ac:dyDescent="0.2">
      <c r="A625" s="164"/>
      <c r="B625" s="170"/>
      <c r="C625" s="170"/>
      <c r="D625" s="169"/>
      <c r="E625" s="172"/>
      <c r="F625" s="164"/>
      <c r="G625" s="164"/>
      <c r="H625" s="409"/>
      <c r="I625" s="164"/>
    </row>
    <row r="626" spans="1:9" ht="15.75" customHeight="1" x14ac:dyDescent="0.2">
      <c r="A626" s="164"/>
      <c r="B626" s="170"/>
      <c r="C626" s="170"/>
      <c r="D626" s="169"/>
      <c r="E626" s="172"/>
      <c r="F626" s="164"/>
      <c r="G626" s="164"/>
      <c r="H626" s="409"/>
      <c r="I626" s="164"/>
    </row>
    <row r="627" spans="1:9" ht="15.75" customHeight="1" x14ac:dyDescent="0.2">
      <c r="A627" s="164"/>
      <c r="B627" s="170"/>
      <c r="C627" s="170"/>
      <c r="D627" s="169"/>
      <c r="E627" s="172"/>
      <c r="F627" s="164"/>
      <c r="G627" s="164"/>
      <c r="H627" s="409"/>
      <c r="I627" s="164"/>
    </row>
    <row r="628" spans="1:9" ht="15.75" customHeight="1" x14ac:dyDescent="0.2">
      <c r="A628" s="164"/>
      <c r="B628" s="170"/>
      <c r="C628" s="170"/>
      <c r="D628" s="169"/>
      <c r="E628" s="172"/>
      <c r="F628" s="164"/>
      <c r="G628" s="164"/>
      <c r="H628" s="409"/>
      <c r="I628" s="164"/>
    </row>
    <row r="629" spans="1:9" ht="15.75" customHeight="1" x14ac:dyDescent="0.2">
      <c r="A629" s="164"/>
      <c r="B629" s="170"/>
      <c r="C629" s="170"/>
      <c r="D629" s="169"/>
      <c r="E629" s="172"/>
      <c r="F629" s="164"/>
      <c r="G629" s="164"/>
      <c r="H629" s="409"/>
      <c r="I629" s="164"/>
    </row>
    <row r="630" spans="1:9" ht="15.75" customHeight="1" x14ac:dyDescent="0.2">
      <c r="A630" s="164"/>
      <c r="B630" s="170"/>
      <c r="C630" s="170"/>
      <c r="D630" s="169"/>
      <c r="E630" s="172"/>
      <c r="F630" s="164"/>
      <c r="G630" s="164"/>
      <c r="H630" s="409"/>
      <c r="I630" s="164"/>
    </row>
    <row r="631" spans="1:9" ht="15.75" customHeight="1" x14ac:dyDescent="0.2">
      <c r="A631" s="164"/>
      <c r="B631" s="170"/>
      <c r="C631" s="170"/>
      <c r="D631" s="169"/>
      <c r="E631" s="172"/>
      <c r="F631" s="164"/>
      <c r="G631" s="164"/>
      <c r="H631" s="409"/>
      <c r="I631" s="164"/>
    </row>
    <row r="632" spans="1:9" ht="15.75" customHeight="1" x14ac:dyDescent="0.2">
      <c r="A632" s="164"/>
      <c r="B632" s="170"/>
      <c r="C632" s="170"/>
      <c r="D632" s="169"/>
      <c r="E632" s="172"/>
      <c r="F632" s="164"/>
      <c r="G632" s="164"/>
      <c r="H632" s="409"/>
      <c r="I632" s="164"/>
    </row>
    <row r="633" spans="1:9" ht="15.75" customHeight="1" x14ac:dyDescent="0.2">
      <c r="A633" s="164"/>
      <c r="B633" s="170"/>
      <c r="C633" s="170"/>
      <c r="D633" s="169"/>
      <c r="E633" s="172"/>
      <c r="F633" s="164"/>
      <c r="G633" s="164"/>
      <c r="H633" s="409"/>
      <c r="I633" s="164"/>
    </row>
    <row r="634" spans="1:9" ht="15.75" customHeight="1" x14ac:dyDescent="0.2">
      <c r="A634" s="164"/>
      <c r="B634" s="170"/>
      <c r="C634" s="170"/>
      <c r="D634" s="169"/>
      <c r="E634" s="172"/>
      <c r="F634" s="164"/>
      <c r="G634" s="164"/>
      <c r="H634" s="409"/>
      <c r="I634" s="164"/>
    </row>
    <row r="635" spans="1:9" ht="15.75" customHeight="1" x14ac:dyDescent="0.2">
      <c r="A635" s="164"/>
      <c r="B635" s="170"/>
      <c r="C635" s="170"/>
      <c r="D635" s="169"/>
      <c r="E635" s="172"/>
      <c r="F635" s="164"/>
      <c r="G635" s="164"/>
      <c r="H635" s="409"/>
      <c r="I635" s="164"/>
    </row>
    <row r="636" spans="1:9" ht="15.75" customHeight="1" x14ac:dyDescent="0.2">
      <c r="A636" s="164"/>
      <c r="B636" s="170"/>
      <c r="C636" s="170"/>
      <c r="D636" s="169"/>
      <c r="E636" s="172"/>
      <c r="F636" s="164"/>
      <c r="G636" s="164"/>
      <c r="H636" s="409"/>
      <c r="I636" s="164"/>
    </row>
    <row r="637" spans="1:9" ht="15.75" customHeight="1" x14ac:dyDescent="0.2">
      <c r="A637" s="164"/>
      <c r="B637" s="170"/>
      <c r="C637" s="170"/>
      <c r="D637" s="169"/>
      <c r="E637" s="172"/>
      <c r="F637" s="164"/>
      <c r="G637" s="164"/>
      <c r="H637" s="409"/>
      <c r="I637" s="164"/>
    </row>
    <row r="638" spans="1:9" ht="15.75" customHeight="1" x14ac:dyDescent="0.2">
      <c r="A638" s="164"/>
      <c r="B638" s="170"/>
      <c r="C638" s="170"/>
      <c r="D638" s="169"/>
      <c r="E638" s="172"/>
      <c r="F638" s="164"/>
      <c r="G638" s="164"/>
      <c r="H638" s="409"/>
      <c r="I638" s="164"/>
    </row>
    <row r="639" spans="1:9" ht="15.75" customHeight="1" x14ac:dyDescent="0.2">
      <c r="A639" s="164"/>
      <c r="B639" s="170"/>
      <c r="C639" s="170"/>
      <c r="D639" s="169"/>
      <c r="E639" s="172"/>
      <c r="F639" s="164"/>
      <c r="G639" s="164"/>
      <c r="H639" s="409"/>
      <c r="I639" s="164"/>
    </row>
    <row r="640" spans="1:9" ht="15.75" customHeight="1" x14ac:dyDescent="0.2">
      <c r="A640" s="164"/>
      <c r="B640" s="170"/>
      <c r="C640" s="170"/>
      <c r="D640" s="169"/>
      <c r="E640" s="172"/>
      <c r="F640" s="164"/>
      <c r="G640" s="164"/>
      <c r="H640" s="409"/>
      <c r="I640" s="164"/>
    </row>
    <row r="641" spans="1:9" ht="15.75" customHeight="1" x14ac:dyDescent="0.2">
      <c r="A641" s="164"/>
      <c r="B641" s="170"/>
      <c r="C641" s="170"/>
      <c r="D641" s="169"/>
      <c r="E641" s="172"/>
      <c r="F641" s="164"/>
      <c r="G641" s="164"/>
      <c r="H641" s="409"/>
      <c r="I641" s="164"/>
    </row>
    <row r="642" spans="1:9" ht="15.75" customHeight="1" x14ac:dyDescent="0.2">
      <c r="A642" s="164"/>
      <c r="B642" s="170"/>
      <c r="C642" s="170"/>
      <c r="D642" s="169"/>
      <c r="E642" s="172"/>
      <c r="F642" s="164"/>
      <c r="G642" s="164"/>
      <c r="H642" s="409"/>
      <c r="I642" s="164"/>
    </row>
    <row r="643" spans="1:9" ht="15.75" customHeight="1" x14ac:dyDescent="0.2">
      <c r="A643" s="164"/>
      <c r="B643" s="170"/>
      <c r="C643" s="170"/>
      <c r="D643" s="169"/>
      <c r="E643" s="172"/>
      <c r="F643" s="164"/>
      <c r="G643" s="164"/>
      <c r="H643" s="409"/>
      <c r="I643" s="164"/>
    </row>
    <row r="644" spans="1:9" ht="15.75" customHeight="1" x14ac:dyDescent="0.2">
      <c r="A644" s="164"/>
      <c r="B644" s="170"/>
      <c r="C644" s="170"/>
      <c r="D644" s="169"/>
      <c r="E644" s="172"/>
      <c r="F644" s="164"/>
      <c r="G644" s="164"/>
      <c r="H644" s="409"/>
      <c r="I644" s="164"/>
    </row>
    <row r="645" spans="1:9" ht="15.75" customHeight="1" x14ac:dyDescent="0.2">
      <c r="A645" s="164"/>
      <c r="B645" s="170"/>
      <c r="C645" s="170"/>
      <c r="D645" s="169"/>
      <c r="E645" s="172"/>
      <c r="F645" s="164"/>
      <c r="G645" s="164"/>
      <c r="H645" s="409"/>
      <c r="I645" s="164"/>
    </row>
    <row r="646" spans="1:9" ht="15.75" customHeight="1" x14ac:dyDescent="0.2">
      <c r="A646" s="164"/>
      <c r="B646" s="170"/>
      <c r="C646" s="170"/>
      <c r="D646" s="169"/>
      <c r="E646" s="172"/>
      <c r="F646" s="164"/>
      <c r="G646" s="164"/>
      <c r="H646" s="409"/>
      <c r="I646" s="164"/>
    </row>
    <row r="647" spans="1:9" ht="15.75" customHeight="1" x14ac:dyDescent="0.2">
      <c r="A647" s="164"/>
      <c r="B647" s="170"/>
      <c r="C647" s="170"/>
      <c r="D647" s="169"/>
      <c r="E647" s="172"/>
      <c r="F647" s="164"/>
      <c r="G647" s="164"/>
      <c r="H647" s="409"/>
      <c r="I647" s="164"/>
    </row>
    <row r="648" spans="1:9" ht="15.75" customHeight="1" x14ac:dyDescent="0.2">
      <c r="A648" s="164"/>
      <c r="B648" s="170"/>
      <c r="C648" s="170"/>
      <c r="D648" s="169"/>
      <c r="E648" s="172"/>
      <c r="F648" s="164"/>
      <c r="G648" s="164"/>
      <c r="H648" s="409"/>
      <c r="I648" s="164"/>
    </row>
    <row r="649" spans="1:9" ht="15.75" customHeight="1" x14ac:dyDescent="0.2">
      <c r="A649" s="164"/>
      <c r="B649" s="170"/>
      <c r="C649" s="170"/>
      <c r="D649" s="169"/>
      <c r="E649" s="172"/>
      <c r="F649" s="164"/>
      <c r="G649" s="164"/>
      <c r="H649" s="409"/>
      <c r="I649" s="164"/>
    </row>
    <row r="650" spans="1:9" ht="15.75" customHeight="1" x14ac:dyDescent="0.2">
      <c r="A650" s="164"/>
      <c r="B650" s="170"/>
      <c r="C650" s="170"/>
      <c r="D650" s="169"/>
      <c r="E650" s="172"/>
      <c r="F650" s="164"/>
      <c r="G650" s="164"/>
      <c r="H650" s="409"/>
      <c r="I650" s="164"/>
    </row>
    <row r="651" spans="1:9" ht="15.75" customHeight="1" x14ac:dyDescent="0.2">
      <c r="A651" s="164"/>
      <c r="B651" s="170"/>
      <c r="C651" s="170"/>
      <c r="D651" s="169"/>
      <c r="E651" s="172"/>
      <c r="F651" s="164"/>
      <c r="G651" s="164"/>
      <c r="H651" s="409"/>
      <c r="I651" s="164"/>
    </row>
    <row r="652" spans="1:9" ht="15.75" customHeight="1" x14ac:dyDescent="0.2">
      <c r="A652" s="164"/>
      <c r="B652" s="170"/>
      <c r="C652" s="170"/>
      <c r="D652" s="169"/>
      <c r="E652" s="172"/>
      <c r="F652" s="164"/>
      <c r="G652" s="164"/>
      <c r="H652" s="409"/>
      <c r="I652" s="164"/>
    </row>
    <row r="653" spans="1:9" ht="15.75" customHeight="1" x14ac:dyDescent="0.2">
      <c r="A653" s="164"/>
      <c r="B653" s="170"/>
      <c r="C653" s="170"/>
      <c r="D653" s="169"/>
      <c r="E653" s="172"/>
      <c r="F653" s="164"/>
      <c r="G653" s="164"/>
      <c r="H653" s="409"/>
      <c r="I653" s="164"/>
    </row>
    <row r="654" spans="1:9" ht="15.75" customHeight="1" x14ac:dyDescent="0.2">
      <c r="A654" s="164"/>
      <c r="B654" s="170"/>
      <c r="C654" s="170"/>
      <c r="D654" s="169"/>
      <c r="E654" s="172"/>
      <c r="F654" s="164"/>
      <c r="G654" s="164"/>
      <c r="H654" s="409"/>
      <c r="I654" s="164"/>
    </row>
    <row r="655" spans="1:9" ht="15.75" customHeight="1" x14ac:dyDescent="0.2">
      <c r="A655" s="164"/>
      <c r="B655" s="170"/>
      <c r="C655" s="170"/>
      <c r="D655" s="169"/>
      <c r="E655" s="172"/>
      <c r="F655" s="164"/>
      <c r="G655" s="164"/>
      <c r="H655" s="409"/>
      <c r="I655" s="164"/>
    </row>
    <row r="656" spans="1:9" ht="15.75" customHeight="1" x14ac:dyDescent="0.2">
      <c r="A656" s="164"/>
      <c r="B656" s="170"/>
      <c r="C656" s="170"/>
      <c r="D656" s="169"/>
      <c r="E656" s="172"/>
      <c r="F656" s="164"/>
      <c r="G656" s="164"/>
      <c r="H656" s="409"/>
      <c r="I656" s="164"/>
    </row>
    <row r="657" spans="1:9" ht="15.75" customHeight="1" x14ac:dyDescent="0.2">
      <c r="A657" s="164"/>
      <c r="B657" s="170"/>
      <c r="C657" s="170"/>
      <c r="D657" s="169"/>
      <c r="E657" s="172"/>
      <c r="F657" s="164"/>
      <c r="G657" s="164"/>
      <c r="H657" s="409"/>
      <c r="I657" s="164"/>
    </row>
    <row r="658" spans="1:9" ht="15.75" customHeight="1" x14ac:dyDescent="0.2">
      <c r="A658" s="164"/>
      <c r="B658" s="170"/>
      <c r="C658" s="170"/>
      <c r="D658" s="169"/>
      <c r="E658" s="172"/>
      <c r="F658" s="164"/>
      <c r="G658" s="164"/>
      <c r="H658" s="409"/>
      <c r="I658" s="164"/>
    </row>
    <row r="659" spans="1:9" ht="15.75" customHeight="1" x14ac:dyDescent="0.2">
      <c r="A659" s="164"/>
      <c r="B659" s="170"/>
      <c r="C659" s="170"/>
      <c r="D659" s="169"/>
      <c r="E659" s="172"/>
      <c r="F659" s="164"/>
      <c r="G659" s="164"/>
      <c r="H659" s="409"/>
      <c r="I659" s="164"/>
    </row>
    <row r="660" spans="1:9" ht="15.75" customHeight="1" x14ac:dyDescent="0.2">
      <c r="A660" s="164"/>
      <c r="B660" s="170"/>
      <c r="C660" s="170"/>
      <c r="D660" s="169"/>
      <c r="E660" s="172"/>
      <c r="F660" s="164"/>
      <c r="G660" s="164"/>
      <c r="H660" s="409"/>
      <c r="I660" s="164"/>
    </row>
    <row r="661" spans="1:9" ht="15.75" customHeight="1" x14ac:dyDescent="0.2">
      <c r="A661" s="164"/>
      <c r="B661" s="170"/>
      <c r="C661" s="170"/>
      <c r="D661" s="169"/>
      <c r="E661" s="172"/>
      <c r="F661" s="164"/>
      <c r="G661" s="164"/>
      <c r="H661" s="409"/>
      <c r="I661" s="164"/>
    </row>
    <row r="662" spans="1:9" ht="15.75" customHeight="1" x14ac:dyDescent="0.2">
      <c r="A662" s="164"/>
      <c r="B662" s="170"/>
      <c r="C662" s="170"/>
      <c r="D662" s="169"/>
      <c r="E662" s="172"/>
      <c r="F662" s="164"/>
      <c r="G662" s="164"/>
      <c r="H662" s="409"/>
      <c r="I662" s="164"/>
    </row>
    <row r="663" spans="1:9" ht="15.75" customHeight="1" x14ac:dyDescent="0.2">
      <c r="A663" s="164"/>
      <c r="B663" s="170"/>
      <c r="C663" s="170"/>
      <c r="D663" s="169"/>
      <c r="E663" s="172"/>
      <c r="F663" s="164"/>
      <c r="G663" s="164"/>
      <c r="H663" s="409"/>
      <c r="I663" s="164"/>
    </row>
    <row r="664" spans="1:9" ht="15.75" customHeight="1" x14ac:dyDescent="0.2">
      <c r="A664" s="164"/>
      <c r="B664" s="170"/>
      <c r="C664" s="170"/>
      <c r="D664" s="169"/>
      <c r="E664" s="172"/>
      <c r="F664" s="164"/>
      <c r="G664" s="164"/>
      <c r="H664" s="409"/>
      <c r="I664" s="164"/>
    </row>
    <row r="665" spans="1:9" ht="15.75" customHeight="1" x14ac:dyDescent="0.2">
      <c r="A665" s="164"/>
      <c r="B665" s="170"/>
      <c r="C665" s="170"/>
      <c r="D665" s="169"/>
      <c r="E665" s="172"/>
      <c r="F665" s="164"/>
      <c r="G665" s="164"/>
      <c r="H665" s="409"/>
      <c r="I665" s="164"/>
    </row>
    <row r="666" spans="1:9" ht="15.75" customHeight="1" x14ac:dyDescent="0.2">
      <c r="A666" s="164"/>
      <c r="B666" s="170"/>
      <c r="C666" s="170"/>
      <c r="D666" s="169"/>
      <c r="E666" s="172"/>
      <c r="F666" s="164"/>
      <c r="G666" s="164"/>
      <c r="H666" s="409"/>
      <c r="I666" s="164"/>
    </row>
    <row r="667" spans="1:9" ht="15.75" customHeight="1" x14ac:dyDescent="0.2">
      <c r="A667" s="164"/>
      <c r="B667" s="170"/>
      <c r="C667" s="170"/>
      <c r="D667" s="169"/>
      <c r="E667" s="172"/>
      <c r="F667" s="164"/>
      <c r="G667" s="164"/>
      <c r="H667" s="409"/>
      <c r="I667" s="164"/>
    </row>
    <row r="668" spans="1:9" ht="15.75" customHeight="1" x14ac:dyDescent="0.2">
      <c r="A668" s="164"/>
      <c r="B668" s="170"/>
      <c r="C668" s="170"/>
      <c r="D668" s="169"/>
      <c r="E668" s="172"/>
      <c r="F668" s="164"/>
      <c r="G668" s="164"/>
      <c r="H668" s="409"/>
      <c r="I668" s="164"/>
    </row>
    <row r="669" spans="1:9" ht="15.75" customHeight="1" x14ac:dyDescent="0.2">
      <c r="A669" s="164"/>
      <c r="B669" s="170"/>
      <c r="C669" s="170"/>
      <c r="D669" s="169"/>
      <c r="E669" s="172"/>
      <c r="F669" s="164"/>
      <c r="G669" s="164"/>
      <c r="H669" s="409"/>
      <c r="I669" s="164"/>
    </row>
    <row r="670" spans="1:9" ht="15.75" customHeight="1" x14ac:dyDescent="0.2">
      <c r="A670" s="164"/>
      <c r="B670" s="170"/>
      <c r="C670" s="170"/>
      <c r="D670" s="169"/>
      <c r="E670" s="172"/>
      <c r="F670" s="164"/>
      <c r="G670" s="164"/>
      <c r="H670" s="409"/>
      <c r="I670" s="164"/>
    </row>
    <row r="671" spans="1:9" ht="15.75" customHeight="1" x14ac:dyDescent="0.2">
      <c r="A671" s="164"/>
      <c r="B671" s="170"/>
      <c r="C671" s="170"/>
      <c r="D671" s="169"/>
      <c r="E671" s="172"/>
      <c r="F671" s="164"/>
      <c r="G671" s="164"/>
      <c r="H671" s="409"/>
      <c r="I671" s="164"/>
    </row>
    <row r="672" spans="1:9" ht="15.75" customHeight="1" x14ac:dyDescent="0.2">
      <c r="A672" s="164"/>
      <c r="B672" s="170"/>
      <c r="C672" s="170"/>
      <c r="D672" s="169"/>
      <c r="E672" s="172"/>
      <c r="F672" s="164"/>
      <c r="G672" s="164"/>
      <c r="H672" s="409"/>
      <c r="I672" s="164"/>
    </row>
    <row r="673" spans="1:9" ht="15.75" customHeight="1" x14ac:dyDescent="0.2">
      <c r="A673" s="164"/>
      <c r="B673" s="170"/>
      <c r="C673" s="170"/>
      <c r="D673" s="169"/>
      <c r="E673" s="172"/>
      <c r="F673" s="164"/>
      <c r="G673" s="164"/>
      <c r="H673" s="409"/>
      <c r="I673" s="164"/>
    </row>
    <row r="674" spans="1:9" ht="15.75" customHeight="1" x14ac:dyDescent="0.2">
      <c r="A674" s="164"/>
      <c r="B674" s="170"/>
      <c r="C674" s="170"/>
      <c r="D674" s="169"/>
      <c r="E674" s="172"/>
      <c r="F674" s="164"/>
      <c r="G674" s="164"/>
      <c r="H674" s="409"/>
      <c r="I674" s="164"/>
    </row>
    <row r="675" spans="1:9" ht="15.75" customHeight="1" x14ac:dyDescent="0.2">
      <c r="A675" s="164"/>
      <c r="B675" s="170"/>
      <c r="C675" s="170"/>
      <c r="D675" s="169"/>
      <c r="E675" s="172"/>
      <c r="F675" s="164"/>
      <c r="G675" s="164"/>
      <c r="H675" s="409"/>
      <c r="I675" s="164"/>
    </row>
    <row r="676" spans="1:9" ht="15.75" customHeight="1" x14ac:dyDescent="0.2">
      <c r="A676" s="164"/>
      <c r="B676" s="170"/>
      <c r="C676" s="170"/>
      <c r="D676" s="169"/>
      <c r="E676" s="172"/>
      <c r="F676" s="164"/>
      <c r="G676" s="164"/>
      <c r="H676" s="409"/>
      <c r="I676" s="164"/>
    </row>
    <row r="677" spans="1:9" ht="15.75" customHeight="1" x14ac:dyDescent="0.2">
      <c r="A677" s="164"/>
      <c r="B677" s="170"/>
      <c r="C677" s="170"/>
      <c r="D677" s="169"/>
      <c r="E677" s="172"/>
      <c r="F677" s="164"/>
      <c r="G677" s="164"/>
      <c r="H677" s="409"/>
      <c r="I677" s="164"/>
    </row>
    <row r="678" spans="1:9" ht="15.75" customHeight="1" x14ac:dyDescent="0.2">
      <c r="A678" s="164"/>
      <c r="B678" s="170"/>
      <c r="C678" s="170"/>
      <c r="D678" s="169"/>
      <c r="E678" s="172"/>
      <c r="F678" s="164"/>
      <c r="G678" s="164"/>
      <c r="H678" s="409"/>
      <c r="I678" s="164"/>
    </row>
    <row r="679" spans="1:9" ht="15.75" customHeight="1" x14ac:dyDescent="0.2">
      <c r="A679" s="164"/>
      <c r="B679" s="170"/>
      <c r="C679" s="170"/>
      <c r="D679" s="169"/>
      <c r="E679" s="172"/>
      <c r="F679" s="164"/>
      <c r="G679" s="164"/>
      <c r="H679" s="409"/>
      <c r="I679" s="164"/>
    </row>
    <row r="680" spans="1:9" ht="15.75" customHeight="1" x14ac:dyDescent="0.2">
      <c r="A680" s="164"/>
      <c r="B680" s="170"/>
      <c r="C680" s="170"/>
      <c r="D680" s="169"/>
      <c r="E680" s="172"/>
      <c r="F680" s="164"/>
      <c r="G680" s="164"/>
      <c r="H680" s="409"/>
      <c r="I680" s="164"/>
    </row>
    <row r="681" spans="1:9" ht="15.75" customHeight="1" x14ac:dyDescent="0.2">
      <c r="A681" s="164"/>
      <c r="B681" s="170"/>
      <c r="C681" s="170"/>
      <c r="D681" s="169"/>
      <c r="E681" s="172"/>
      <c r="F681" s="164"/>
      <c r="G681" s="164"/>
      <c r="H681" s="409"/>
      <c r="I681" s="164"/>
    </row>
    <row r="682" spans="1:9" ht="15.75" customHeight="1" x14ac:dyDescent="0.2">
      <c r="A682" s="164"/>
      <c r="B682" s="170"/>
      <c r="C682" s="170"/>
      <c r="D682" s="169"/>
      <c r="E682" s="172"/>
      <c r="F682" s="164"/>
      <c r="G682" s="164"/>
      <c r="H682" s="409"/>
      <c r="I682" s="164"/>
    </row>
    <row r="683" spans="1:9" ht="15.75" customHeight="1" x14ac:dyDescent="0.2">
      <c r="A683" s="164"/>
      <c r="B683" s="170"/>
      <c r="C683" s="170"/>
      <c r="D683" s="169"/>
      <c r="E683" s="172"/>
      <c r="F683" s="164"/>
      <c r="G683" s="164"/>
      <c r="H683" s="409"/>
      <c r="I683" s="164"/>
    </row>
    <row r="684" spans="1:9" ht="15.75" customHeight="1" x14ac:dyDescent="0.2">
      <c r="A684" s="164"/>
      <c r="B684" s="170"/>
      <c r="C684" s="170"/>
      <c r="D684" s="169"/>
      <c r="E684" s="172"/>
      <c r="F684" s="164"/>
      <c r="G684" s="164"/>
      <c r="H684" s="409"/>
      <c r="I684" s="164"/>
    </row>
    <row r="685" spans="1:9" ht="15.75" customHeight="1" x14ac:dyDescent="0.2">
      <c r="A685" s="164"/>
      <c r="B685" s="170"/>
      <c r="C685" s="170"/>
      <c r="D685" s="169"/>
      <c r="E685" s="172"/>
      <c r="F685" s="164"/>
      <c r="G685" s="164"/>
      <c r="H685" s="409"/>
      <c r="I685" s="164"/>
    </row>
    <row r="686" spans="1:9" ht="15.75" customHeight="1" x14ac:dyDescent="0.2">
      <c r="A686" s="164"/>
      <c r="B686" s="170"/>
      <c r="C686" s="170"/>
      <c r="D686" s="169"/>
      <c r="E686" s="172"/>
      <c r="F686" s="164"/>
      <c r="G686" s="164"/>
      <c r="H686" s="409"/>
      <c r="I686" s="164"/>
    </row>
    <row r="687" spans="1:9" ht="15.75" customHeight="1" x14ac:dyDescent="0.2">
      <c r="A687" s="164"/>
      <c r="B687" s="170"/>
      <c r="C687" s="170"/>
      <c r="D687" s="169"/>
      <c r="E687" s="172"/>
      <c r="F687" s="164"/>
      <c r="G687" s="164"/>
      <c r="H687" s="409"/>
      <c r="I687" s="164"/>
    </row>
    <row r="688" spans="1:9" ht="15.75" customHeight="1" x14ac:dyDescent="0.2">
      <c r="A688" s="164"/>
      <c r="B688" s="170"/>
      <c r="C688" s="170"/>
      <c r="D688" s="169"/>
      <c r="E688" s="172"/>
      <c r="F688" s="164"/>
      <c r="G688" s="164"/>
      <c r="H688" s="409"/>
      <c r="I688" s="164"/>
    </row>
    <row r="689" spans="1:9" ht="15.75" customHeight="1" x14ac:dyDescent="0.2">
      <c r="A689" s="164"/>
      <c r="B689" s="170"/>
      <c r="C689" s="170"/>
      <c r="D689" s="169"/>
      <c r="E689" s="172"/>
      <c r="F689" s="164"/>
      <c r="G689" s="164"/>
      <c r="H689" s="409"/>
      <c r="I689" s="164"/>
    </row>
    <row r="690" spans="1:9" ht="15.75" customHeight="1" x14ac:dyDescent="0.2">
      <c r="A690" s="164"/>
      <c r="B690" s="170"/>
      <c r="C690" s="170"/>
      <c r="D690" s="169"/>
      <c r="E690" s="172"/>
      <c r="F690" s="164"/>
      <c r="G690" s="164"/>
      <c r="H690" s="409"/>
      <c r="I690" s="164"/>
    </row>
    <row r="691" spans="1:9" ht="15.75" customHeight="1" x14ac:dyDescent="0.2">
      <c r="A691" s="164"/>
      <c r="B691" s="170"/>
      <c r="C691" s="170"/>
      <c r="D691" s="169"/>
      <c r="E691" s="172"/>
      <c r="F691" s="164"/>
      <c r="G691" s="164"/>
      <c r="H691" s="409"/>
      <c r="I691" s="164"/>
    </row>
    <row r="692" spans="1:9" ht="15.75" customHeight="1" x14ac:dyDescent="0.2">
      <c r="A692" s="164"/>
      <c r="B692" s="170"/>
      <c r="C692" s="170"/>
      <c r="D692" s="169"/>
      <c r="E692" s="172"/>
      <c r="F692" s="164"/>
      <c r="G692" s="164"/>
      <c r="H692" s="409"/>
      <c r="I692" s="164"/>
    </row>
    <row r="693" spans="1:9" ht="15.75" customHeight="1" x14ac:dyDescent="0.2">
      <c r="A693" s="164"/>
      <c r="B693" s="170"/>
      <c r="C693" s="170"/>
      <c r="D693" s="169"/>
      <c r="E693" s="172"/>
      <c r="F693" s="164"/>
      <c r="G693" s="164"/>
      <c r="H693" s="409"/>
      <c r="I693" s="164"/>
    </row>
    <row r="694" spans="1:9" ht="15.75" customHeight="1" x14ac:dyDescent="0.2">
      <c r="A694" s="164"/>
      <c r="B694" s="170"/>
      <c r="C694" s="170"/>
      <c r="D694" s="169"/>
      <c r="E694" s="172"/>
      <c r="F694" s="164"/>
      <c r="G694" s="164"/>
      <c r="H694" s="409"/>
      <c r="I694" s="164"/>
    </row>
    <row r="695" spans="1:9" ht="15.75" customHeight="1" x14ac:dyDescent="0.2">
      <c r="A695" s="164"/>
      <c r="B695" s="170"/>
      <c r="C695" s="170"/>
      <c r="D695" s="169"/>
      <c r="E695" s="172"/>
      <c r="F695" s="164"/>
      <c r="G695" s="164"/>
      <c r="H695" s="409"/>
      <c r="I695" s="164"/>
    </row>
    <row r="696" spans="1:9" ht="15.75" customHeight="1" x14ac:dyDescent="0.2">
      <c r="A696" s="164"/>
      <c r="B696" s="170"/>
      <c r="C696" s="170"/>
      <c r="D696" s="169"/>
      <c r="E696" s="172"/>
      <c r="F696" s="164"/>
      <c r="G696" s="164"/>
      <c r="H696" s="409"/>
      <c r="I696" s="164"/>
    </row>
    <row r="697" spans="1:9" ht="15.75" customHeight="1" x14ac:dyDescent="0.2">
      <c r="A697" s="164"/>
      <c r="B697" s="170"/>
      <c r="C697" s="170"/>
      <c r="D697" s="169"/>
      <c r="E697" s="172"/>
      <c r="F697" s="164"/>
      <c r="G697" s="164"/>
      <c r="H697" s="409"/>
      <c r="I697" s="164"/>
    </row>
    <row r="698" spans="1:9" ht="15.75" customHeight="1" x14ac:dyDescent="0.2">
      <c r="A698" s="164"/>
      <c r="B698" s="170"/>
      <c r="C698" s="170"/>
      <c r="D698" s="169"/>
      <c r="E698" s="172"/>
      <c r="F698" s="164"/>
      <c r="G698" s="164"/>
      <c r="H698" s="409"/>
      <c r="I698" s="164"/>
    </row>
    <row r="699" spans="1:9" ht="15.75" customHeight="1" x14ac:dyDescent="0.2">
      <c r="A699" s="164"/>
      <c r="B699" s="170"/>
      <c r="C699" s="170"/>
      <c r="D699" s="169"/>
      <c r="E699" s="172"/>
      <c r="F699" s="164"/>
      <c r="G699" s="164"/>
      <c r="H699" s="409"/>
      <c r="I699" s="164"/>
    </row>
    <row r="700" spans="1:9" ht="15.75" customHeight="1" x14ac:dyDescent="0.2">
      <c r="A700" s="164"/>
      <c r="B700" s="170"/>
      <c r="C700" s="170"/>
      <c r="D700" s="169"/>
      <c r="E700" s="172"/>
      <c r="F700" s="164"/>
      <c r="G700" s="164"/>
      <c r="H700" s="409"/>
      <c r="I700" s="164"/>
    </row>
    <row r="701" spans="1:9" ht="15.75" customHeight="1" x14ac:dyDescent="0.2">
      <c r="A701" s="164"/>
      <c r="B701" s="170"/>
      <c r="C701" s="170"/>
      <c r="D701" s="169"/>
      <c r="E701" s="172"/>
      <c r="F701" s="164"/>
      <c r="G701" s="164"/>
      <c r="H701" s="409"/>
      <c r="I701" s="164"/>
    </row>
    <row r="702" spans="1:9" ht="15.75" customHeight="1" x14ac:dyDescent="0.2">
      <c r="A702" s="164"/>
      <c r="B702" s="170"/>
      <c r="C702" s="170"/>
      <c r="D702" s="169"/>
      <c r="E702" s="172"/>
      <c r="F702" s="164"/>
      <c r="G702" s="164"/>
      <c r="H702" s="409"/>
      <c r="I702" s="164"/>
    </row>
    <row r="703" spans="1:9" ht="15.75" customHeight="1" x14ac:dyDescent="0.2">
      <c r="A703" s="164"/>
      <c r="B703" s="170"/>
      <c r="C703" s="170"/>
      <c r="D703" s="169"/>
      <c r="E703" s="172"/>
      <c r="F703" s="164"/>
      <c r="G703" s="164"/>
      <c r="H703" s="409"/>
      <c r="I703" s="164"/>
    </row>
    <row r="704" spans="1:9" ht="15.75" customHeight="1" x14ac:dyDescent="0.2">
      <c r="A704" s="164"/>
      <c r="B704" s="170"/>
      <c r="C704" s="170"/>
      <c r="D704" s="169"/>
      <c r="E704" s="172"/>
      <c r="F704" s="164"/>
      <c r="G704" s="164"/>
      <c r="H704" s="409"/>
      <c r="I704" s="164"/>
    </row>
    <row r="705" spans="1:9" ht="15.75" customHeight="1" x14ac:dyDescent="0.2">
      <c r="A705" s="164"/>
      <c r="B705" s="170"/>
      <c r="C705" s="170"/>
      <c r="D705" s="169"/>
      <c r="E705" s="172"/>
      <c r="F705" s="164"/>
      <c r="G705" s="164"/>
      <c r="H705" s="409"/>
      <c r="I705" s="164"/>
    </row>
    <row r="706" spans="1:9" ht="15.75" customHeight="1" x14ac:dyDescent="0.2">
      <c r="A706" s="164"/>
      <c r="B706" s="170"/>
      <c r="C706" s="170"/>
      <c r="D706" s="169"/>
      <c r="E706" s="172"/>
      <c r="F706" s="164"/>
      <c r="G706" s="164"/>
      <c r="H706" s="409"/>
      <c r="I706" s="164"/>
    </row>
    <row r="707" spans="1:9" ht="15.75" customHeight="1" x14ac:dyDescent="0.2">
      <c r="A707" s="164"/>
      <c r="B707" s="170"/>
      <c r="C707" s="170"/>
      <c r="D707" s="169"/>
      <c r="E707" s="172"/>
      <c r="F707" s="164"/>
      <c r="G707" s="164"/>
      <c r="H707" s="409"/>
      <c r="I707" s="164"/>
    </row>
    <row r="708" spans="1:9" ht="15.75" customHeight="1" x14ac:dyDescent="0.2">
      <c r="A708" s="164"/>
      <c r="B708" s="170"/>
      <c r="C708" s="170"/>
      <c r="D708" s="169"/>
      <c r="E708" s="172"/>
      <c r="F708" s="164"/>
      <c r="G708" s="164"/>
      <c r="H708" s="409"/>
      <c r="I708" s="164"/>
    </row>
    <row r="709" spans="1:9" ht="15.75" customHeight="1" x14ac:dyDescent="0.2">
      <c r="A709" s="164"/>
      <c r="B709" s="170"/>
      <c r="C709" s="170"/>
      <c r="D709" s="169"/>
      <c r="E709" s="172"/>
      <c r="F709" s="164"/>
      <c r="G709" s="164"/>
      <c r="H709" s="409"/>
      <c r="I709" s="164"/>
    </row>
    <row r="710" spans="1:9" ht="15.75" customHeight="1" x14ac:dyDescent="0.2">
      <c r="A710" s="164"/>
      <c r="B710" s="170"/>
      <c r="C710" s="170"/>
      <c r="D710" s="169"/>
      <c r="E710" s="172"/>
      <c r="F710" s="164"/>
      <c r="G710" s="164"/>
      <c r="H710" s="409"/>
      <c r="I710" s="164"/>
    </row>
    <row r="711" spans="1:9" ht="15.75" customHeight="1" x14ac:dyDescent="0.2">
      <c r="A711" s="164"/>
      <c r="B711" s="170"/>
      <c r="C711" s="170"/>
      <c r="D711" s="169"/>
      <c r="E711" s="172"/>
      <c r="F711" s="164"/>
      <c r="G711" s="164"/>
      <c r="H711" s="409"/>
      <c r="I711" s="164"/>
    </row>
    <row r="712" spans="1:9" ht="15.75" customHeight="1" x14ac:dyDescent="0.2">
      <c r="A712" s="164"/>
      <c r="B712" s="170"/>
      <c r="C712" s="170"/>
      <c r="D712" s="169"/>
      <c r="E712" s="172"/>
      <c r="F712" s="164"/>
      <c r="G712" s="164"/>
      <c r="H712" s="409"/>
      <c r="I712" s="164"/>
    </row>
    <row r="713" spans="1:9" ht="15.75" customHeight="1" x14ac:dyDescent="0.2">
      <c r="A713" s="164"/>
      <c r="B713" s="170"/>
      <c r="C713" s="170"/>
      <c r="D713" s="169"/>
      <c r="E713" s="172"/>
      <c r="F713" s="164"/>
      <c r="G713" s="164"/>
      <c r="H713" s="409"/>
      <c r="I713" s="164"/>
    </row>
    <row r="714" spans="1:9" ht="15.75" customHeight="1" x14ac:dyDescent="0.2">
      <c r="A714" s="164"/>
      <c r="B714" s="170"/>
      <c r="C714" s="170"/>
      <c r="D714" s="169"/>
      <c r="E714" s="172"/>
      <c r="F714" s="164"/>
      <c r="G714" s="164"/>
      <c r="H714" s="409"/>
      <c r="I714" s="164"/>
    </row>
    <row r="715" spans="1:9" ht="15.75" customHeight="1" x14ac:dyDescent="0.2">
      <c r="A715" s="164"/>
      <c r="B715" s="170"/>
      <c r="C715" s="170"/>
      <c r="D715" s="169"/>
      <c r="E715" s="172"/>
      <c r="F715" s="164"/>
      <c r="G715" s="164"/>
      <c r="H715" s="409"/>
      <c r="I715" s="164"/>
    </row>
    <row r="716" spans="1:9" ht="15.75" customHeight="1" x14ac:dyDescent="0.2">
      <c r="A716" s="164"/>
      <c r="B716" s="170"/>
      <c r="C716" s="170"/>
      <c r="D716" s="169"/>
      <c r="E716" s="172"/>
      <c r="F716" s="164"/>
      <c r="G716" s="164"/>
      <c r="H716" s="409"/>
      <c r="I716" s="164"/>
    </row>
    <row r="717" spans="1:9" ht="15.75" customHeight="1" x14ac:dyDescent="0.2">
      <c r="A717" s="164"/>
      <c r="B717" s="170"/>
      <c r="C717" s="170"/>
      <c r="D717" s="169"/>
      <c r="E717" s="172"/>
      <c r="F717" s="164"/>
      <c r="G717" s="164"/>
      <c r="H717" s="409"/>
      <c r="I717" s="164"/>
    </row>
    <row r="718" spans="1:9" ht="15.75" customHeight="1" x14ac:dyDescent="0.2">
      <c r="A718" s="164"/>
      <c r="B718" s="170"/>
      <c r="C718" s="170"/>
      <c r="D718" s="169"/>
      <c r="E718" s="172"/>
      <c r="F718" s="164"/>
      <c r="G718" s="164"/>
      <c r="H718" s="409"/>
      <c r="I718" s="164"/>
    </row>
    <row r="719" spans="1:9" ht="15.75" customHeight="1" x14ac:dyDescent="0.2">
      <c r="A719" s="164"/>
      <c r="B719" s="170"/>
      <c r="C719" s="170"/>
      <c r="D719" s="169"/>
      <c r="E719" s="172"/>
      <c r="F719" s="164"/>
      <c r="G719" s="164"/>
      <c r="H719" s="409"/>
      <c r="I719" s="164"/>
    </row>
    <row r="720" spans="1:9" ht="15.75" customHeight="1" x14ac:dyDescent="0.2">
      <c r="A720" s="164"/>
      <c r="B720" s="170"/>
      <c r="C720" s="170"/>
      <c r="D720" s="169"/>
      <c r="E720" s="172"/>
      <c r="F720" s="164"/>
      <c r="G720" s="164"/>
      <c r="H720" s="409"/>
      <c r="I720" s="164"/>
    </row>
    <row r="721" spans="1:9" ht="15.75" customHeight="1" x14ac:dyDescent="0.2">
      <c r="A721" s="164"/>
      <c r="B721" s="170"/>
      <c r="C721" s="170"/>
      <c r="D721" s="169"/>
      <c r="E721" s="172"/>
      <c r="F721" s="164"/>
      <c r="G721" s="164"/>
      <c r="H721" s="409"/>
      <c r="I721" s="164"/>
    </row>
    <row r="722" spans="1:9" ht="15.75" customHeight="1" x14ac:dyDescent="0.2">
      <c r="A722" s="164"/>
      <c r="B722" s="170"/>
      <c r="C722" s="170"/>
      <c r="D722" s="169"/>
      <c r="E722" s="172"/>
      <c r="F722" s="164"/>
      <c r="G722" s="164"/>
      <c r="H722" s="409"/>
      <c r="I722" s="164"/>
    </row>
    <row r="723" spans="1:9" ht="15.75" customHeight="1" x14ac:dyDescent="0.2">
      <c r="A723" s="164"/>
      <c r="B723" s="170"/>
      <c r="C723" s="170"/>
      <c r="D723" s="169"/>
      <c r="E723" s="172"/>
      <c r="F723" s="164"/>
      <c r="G723" s="164"/>
      <c r="H723" s="409"/>
      <c r="I723" s="164"/>
    </row>
    <row r="724" spans="1:9" ht="15.75" customHeight="1" x14ac:dyDescent="0.2">
      <c r="A724" s="164"/>
      <c r="B724" s="170"/>
      <c r="C724" s="170"/>
      <c r="D724" s="169"/>
      <c r="E724" s="172"/>
      <c r="F724" s="164"/>
      <c r="G724" s="164"/>
      <c r="H724" s="409"/>
      <c r="I724" s="164"/>
    </row>
    <row r="725" spans="1:9" ht="15.75" customHeight="1" x14ac:dyDescent="0.2">
      <c r="A725" s="164"/>
      <c r="B725" s="170"/>
      <c r="C725" s="170"/>
      <c r="D725" s="169"/>
      <c r="E725" s="172"/>
      <c r="F725" s="164"/>
      <c r="G725" s="164"/>
      <c r="H725" s="409"/>
      <c r="I725" s="164"/>
    </row>
    <row r="726" spans="1:9" ht="15.75" customHeight="1" x14ac:dyDescent="0.2">
      <c r="A726" s="164"/>
      <c r="B726" s="170"/>
      <c r="C726" s="170"/>
      <c r="D726" s="169"/>
      <c r="E726" s="172"/>
      <c r="F726" s="164"/>
      <c r="G726" s="164"/>
      <c r="H726" s="409"/>
      <c r="I726" s="164"/>
    </row>
    <row r="727" spans="1:9" ht="15.75" customHeight="1" x14ac:dyDescent="0.2">
      <c r="A727" s="164"/>
      <c r="B727" s="170"/>
      <c r="C727" s="170"/>
      <c r="D727" s="169"/>
      <c r="E727" s="172"/>
      <c r="F727" s="164"/>
      <c r="G727" s="164"/>
      <c r="H727" s="409"/>
      <c r="I727" s="164"/>
    </row>
    <row r="728" spans="1:9" ht="15.75" customHeight="1" x14ac:dyDescent="0.2">
      <c r="A728" s="164"/>
      <c r="B728" s="170"/>
      <c r="C728" s="170"/>
      <c r="D728" s="169"/>
      <c r="E728" s="172"/>
      <c r="F728" s="164"/>
      <c r="G728" s="164"/>
      <c r="H728" s="409"/>
      <c r="I728" s="164"/>
    </row>
    <row r="729" spans="1:9" ht="15.75" customHeight="1" x14ac:dyDescent="0.2">
      <c r="A729" s="164"/>
      <c r="B729" s="170"/>
      <c r="C729" s="170"/>
      <c r="D729" s="169"/>
      <c r="E729" s="172"/>
      <c r="F729" s="164"/>
      <c r="G729" s="164"/>
      <c r="H729" s="409"/>
      <c r="I729" s="164"/>
    </row>
    <row r="730" spans="1:9" ht="15.75" customHeight="1" x14ac:dyDescent="0.2">
      <c r="A730" s="164"/>
      <c r="B730" s="170"/>
      <c r="C730" s="170"/>
      <c r="D730" s="169"/>
      <c r="E730" s="172"/>
      <c r="F730" s="164"/>
      <c r="G730" s="164"/>
      <c r="H730" s="409"/>
      <c r="I730" s="164"/>
    </row>
    <row r="731" spans="1:9" ht="15.75" customHeight="1" x14ac:dyDescent="0.2">
      <c r="A731" s="164"/>
      <c r="B731" s="170"/>
      <c r="C731" s="170"/>
      <c r="D731" s="169"/>
      <c r="E731" s="172"/>
      <c r="F731" s="164"/>
      <c r="G731" s="164"/>
      <c r="H731" s="409"/>
      <c r="I731" s="164"/>
    </row>
    <row r="732" spans="1:9" ht="15.75" customHeight="1" x14ac:dyDescent="0.2">
      <c r="A732" s="164"/>
      <c r="B732" s="170"/>
      <c r="C732" s="170"/>
      <c r="D732" s="169"/>
      <c r="E732" s="172"/>
      <c r="F732" s="164"/>
      <c r="G732" s="164"/>
      <c r="H732" s="409"/>
      <c r="I732" s="164"/>
    </row>
    <row r="733" spans="1:9" ht="15.75" customHeight="1" x14ac:dyDescent="0.2">
      <c r="A733" s="164"/>
      <c r="B733" s="170"/>
      <c r="C733" s="170"/>
      <c r="D733" s="169"/>
      <c r="E733" s="172"/>
      <c r="F733" s="164"/>
      <c r="G733" s="164"/>
      <c r="H733" s="409"/>
      <c r="I733" s="164"/>
    </row>
    <row r="734" spans="1:9" ht="15.75" customHeight="1" x14ac:dyDescent="0.2">
      <c r="A734" s="164"/>
      <c r="B734" s="170"/>
      <c r="C734" s="170"/>
      <c r="D734" s="169"/>
      <c r="E734" s="172"/>
      <c r="F734" s="164"/>
      <c r="G734" s="164"/>
      <c r="H734" s="409"/>
      <c r="I734" s="164"/>
    </row>
    <row r="735" spans="1:9" ht="15.75" customHeight="1" x14ac:dyDescent="0.2">
      <c r="A735" s="164"/>
      <c r="B735" s="170"/>
      <c r="C735" s="170"/>
      <c r="D735" s="169"/>
      <c r="E735" s="172"/>
      <c r="F735" s="164"/>
      <c r="G735" s="164"/>
      <c r="H735" s="409"/>
      <c r="I735" s="164"/>
    </row>
    <row r="736" spans="1:9" ht="15.75" customHeight="1" x14ac:dyDescent="0.2">
      <c r="A736" s="164"/>
      <c r="B736" s="170"/>
      <c r="C736" s="170"/>
      <c r="D736" s="169"/>
      <c r="E736" s="172"/>
      <c r="F736" s="164"/>
      <c r="G736" s="164"/>
      <c r="H736" s="409"/>
      <c r="I736" s="164"/>
    </row>
    <row r="737" spans="1:9" ht="15.75" customHeight="1" x14ac:dyDescent="0.2">
      <c r="A737" s="164"/>
      <c r="B737" s="170"/>
      <c r="C737" s="170"/>
      <c r="D737" s="169"/>
      <c r="E737" s="172"/>
      <c r="F737" s="164"/>
      <c r="G737" s="164"/>
      <c r="H737" s="409"/>
      <c r="I737" s="164"/>
    </row>
    <row r="738" spans="1:9" ht="15.75" customHeight="1" x14ac:dyDescent="0.2">
      <c r="A738" s="164"/>
      <c r="B738" s="170"/>
      <c r="C738" s="170"/>
      <c r="D738" s="169"/>
      <c r="E738" s="172"/>
      <c r="F738" s="164"/>
      <c r="G738" s="164"/>
      <c r="H738" s="409"/>
      <c r="I738" s="164"/>
    </row>
    <row r="739" spans="1:9" ht="15.75" customHeight="1" x14ac:dyDescent="0.2">
      <c r="A739" s="164"/>
      <c r="B739" s="170"/>
      <c r="C739" s="170"/>
      <c r="D739" s="169"/>
      <c r="E739" s="172"/>
      <c r="F739" s="164"/>
      <c r="G739" s="164"/>
      <c r="H739" s="409"/>
      <c r="I739" s="164"/>
    </row>
    <row r="740" spans="1:9" ht="15.75" customHeight="1" x14ac:dyDescent="0.2">
      <c r="A740" s="164"/>
      <c r="B740" s="170"/>
      <c r="C740" s="170"/>
      <c r="D740" s="169"/>
      <c r="E740" s="172"/>
      <c r="F740" s="164"/>
      <c r="G740" s="164"/>
      <c r="H740" s="409"/>
      <c r="I740" s="164"/>
    </row>
    <row r="741" spans="1:9" ht="15.75" customHeight="1" x14ac:dyDescent="0.2">
      <c r="A741" s="164"/>
      <c r="B741" s="170"/>
      <c r="C741" s="170"/>
      <c r="D741" s="169"/>
      <c r="E741" s="172"/>
      <c r="F741" s="164"/>
      <c r="G741" s="164"/>
      <c r="H741" s="409"/>
      <c r="I741" s="164"/>
    </row>
    <row r="742" spans="1:9" ht="15.75" customHeight="1" x14ac:dyDescent="0.2">
      <c r="A742" s="164"/>
      <c r="B742" s="170"/>
      <c r="C742" s="170"/>
      <c r="D742" s="169"/>
      <c r="E742" s="172"/>
      <c r="F742" s="164"/>
      <c r="G742" s="164"/>
      <c r="H742" s="409"/>
      <c r="I742" s="164"/>
    </row>
    <row r="743" spans="1:9" ht="15.75" customHeight="1" x14ac:dyDescent="0.2">
      <c r="A743" s="164"/>
      <c r="B743" s="170"/>
      <c r="C743" s="170"/>
      <c r="D743" s="169"/>
      <c r="E743" s="172"/>
      <c r="F743" s="164"/>
      <c r="G743" s="164"/>
      <c r="H743" s="409"/>
      <c r="I743" s="164"/>
    </row>
    <row r="744" spans="1:9" ht="15.75" customHeight="1" x14ac:dyDescent="0.2">
      <c r="A744" s="164"/>
      <c r="B744" s="170"/>
      <c r="C744" s="170"/>
      <c r="D744" s="169"/>
      <c r="E744" s="172"/>
      <c r="F744" s="164"/>
      <c r="G744" s="164"/>
      <c r="H744" s="409"/>
      <c r="I744" s="164"/>
    </row>
    <row r="745" spans="1:9" ht="15.75" customHeight="1" x14ac:dyDescent="0.2">
      <c r="A745" s="164"/>
      <c r="B745" s="170"/>
      <c r="C745" s="170"/>
      <c r="D745" s="169"/>
      <c r="E745" s="172"/>
      <c r="F745" s="164"/>
      <c r="G745" s="164"/>
      <c r="H745" s="409"/>
      <c r="I745" s="164"/>
    </row>
    <row r="746" spans="1:9" ht="15.75" customHeight="1" x14ac:dyDescent="0.2">
      <c r="A746" s="164"/>
      <c r="B746" s="170"/>
      <c r="C746" s="170"/>
      <c r="D746" s="169"/>
      <c r="E746" s="172"/>
      <c r="F746" s="164"/>
      <c r="G746" s="164"/>
      <c r="H746" s="409"/>
      <c r="I746" s="164"/>
    </row>
    <row r="747" spans="1:9" ht="15.75" customHeight="1" x14ac:dyDescent="0.2">
      <c r="A747" s="164"/>
      <c r="B747" s="170"/>
      <c r="C747" s="170"/>
      <c r="D747" s="169"/>
      <c r="E747" s="172"/>
      <c r="F747" s="164"/>
      <c r="G747" s="164"/>
      <c r="H747" s="409"/>
      <c r="I747" s="164"/>
    </row>
    <row r="748" spans="1:9" ht="15.75" customHeight="1" x14ac:dyDescent="0.2">
      <c r="A748" s="164"/>
      <c r="B748" s="170"/>
      <c r="C748" s="170"/>
      <c r="D748" s="169"/>
      <c r="E748" s="172"/>
      <c r="F748" s="164"/>
      <c r="G748" s="164"/>
      <c r="H748" s="409"/>
      <c r="I748" s="164"/>
    </row>
    <row r="749" spans="1:9" ht="15.75" customHeight="1" x14ac:dyDescent="0.2">
      <c r="A749" s="164"/>
      <c r="B749" s="170"/>
      <c r="C749" s="170"/>
      <c r="D749" s="169"/>
      <c r="E749" s="172"/>
      <c r="F749" s="164"/>
      <c r="G749" s="164"/>
      <c r="H749" s="409"/>
      <c r="I749" s="164"/>
    </row>
    <row r="750" spans="1:9" ht="15.75" customHeight="1" x14ac:dyDescent="0.2">
      <c r="A750" s="164"/>
      <c r="B750" s="170"/>
      <c r="C750" s="170"/>
      <c r="D750" s="169"/>
      <c r="E750" s="172"/>
      <c r="F750" s="164"/>
      <c r="G750" s="164"/>
      <c r="H750" s="409"/>
      <c r="I750" s="164"/>
    </row>
    <row r="751" spans="1:9" ht="15.75" customHeight="1" x14ac:dyDescent="0.2">
      <c r="A751" s="164"/>
      <c r="B751" s="170"/>
      <c r="C751" s="170"/>
      <c r="D751" s="169"/>
      <c r="E751" s="172"/>
      <c r="F751" s="164"/>
      <c r="G751" s="164"/>
      <c r="H751" s="409"/>
      <c r="I751" s="164"/>
    </row>
    <row r="752" spans="1:9" ht="15.75" customHeight="1" x14ac:dyDescent="0.2">
      <c r="A752" s="164"/>
      <c r="B752" s="170"/>
      <c r="C752" s="170"/>
      <c r="D752" s="169"/>
      <c r="E752" s="172"/>
      <c r="F752" s="164"/>
      <c r="G752" s="164"/>
      <c r="H752" s="409"/>
      <c r="I752" s="164"/>
    </row>
    <row r="753" spans="1:9" ht="15.75" customHeight="1" x14ac:dyDescent="0.2">
      <c r="A753" s="164"/>
      <c r="B753" s="170"/>
      <c r="C753" s="170"/>
      <c r="D753" s="169"/>
      <c r="E753" s="172"/>
      <c r="F753" s="164"/>
      <c r="G753" s="164"/>
      <c r="H753" s="409"/>
      <c r="I753" s="164"/>
    </row>
    <row r="754" spans="1:9" ht="15.75" customHeight="1" x14ac:dyDescent="0.2">
      <c r="A754" s="164"/>
      <c r="B754" s="170"/>
      <c r="C754" s="170"/>
      <c r="D754" s="169"/>
      <c r="E754" s="172"/>
      <c r="F754" s="164"/>
      <c r="G754" s="164"/>
      <c r="H754" s="409"/>
      <c r="I754" s="164"/>
    </row>
    <row r="755" spans="1:9" ht="15.75" customHeight="1" x14ac:dyDescent="0.2">
      <c r="A755" s="164"/>
      <c r="B755" s="170"/>
      <c r="C755" s="170"/>
      <c r="D755" s="169"/>
      <c r="E755" s="172"/>
      <c r="F755" s="164"/>
      <c r="G755" s="164"/>
      <c r="H755" s="409"/>
      <c r="I755" s="164"/>
    </row>
    <row r="756" spans="1:9" ht="15.75" customHeight="1" x14ac:dyDescent="0.2">
      <c r="A756" s="164"/>
      <c r="B756" s="170"/>
      <c r="C756" s="170"/>
      <c r="D756" s="169"/>
      <c r="E756" s="172"/>
      <c r="F756" s="164"/>
      <c r="G756" s="164"/>
      <c r="H756" s="409"/>
      <c r="I756" s="164"/>
    </row>
    <row r="757" spans="1:9" ht="15.75" customHeight="1" x14ac:dyDescent="0.2">
      <c r="A757" s="164"/>
      <c r="B757" s="170"/>
      <c r="C757" s="170"/>
      <c r="D757" s="169"/>
      <c r="E757" s="172"/>
      <c r="F757" s="164"/>
      <c r="G757" s="164"/>
      <c r="H757" s="409"/>
      <c r="I757" s="164"/>
    </row>
    <row r="758" spans="1:9" ht="15.75" customHeight="1" x14ac:dyDescent="0.2">
      <c r="A758" s="164"/>
      <c r="B758" s="170"/>
      <c r="C758" s="170"/>
      <c r="D758" s="169"/>
      <c r="E758" s="172"/>
      <c r="F758" s="164"/>
      <c r="G758" s="164"/>
      <c r="H758" s="409"/>
      <c r="I758" s="164"/>
    </row>
    <row r="759" spans="1:9" ht="15.75" customHeight="1" x14ac:dyDescent="0.2">
      <c r="A759" s="164"/>
      <c r="B759" s="170"/>
      <c r="C759" s="170"/>
      <c r="D759" s="169"/>
      <c r="E759" s="172"/>
      <c r="F759" s="164"/>
      <c r="G759" s="164"/>
      <c r="H759" s="409"/>
      <c r="I759" s="164"/>
    </row>
    <row r="760" spans="1:9" ht="15.75" customHeight="1" x14ac:dyDescent="0.2">
      <c r="A760" s="164"/>
      <c r="B760" s="170"/>
      <c r="C760" s="170"/>
      <c r="D760" s="169"/>
      <c r="E760" s="172"/>
      <c r="F760" s="164"/>
      <c r="G760" s="164"/>
      <c r="H760" s="409"/>
      <c r="I760" s="164"/>
    </row>
    <row r="761" spans="1:9" ht="15.75" customHeight="1" x14ac:dyDescent="0.2">
      <c r="A761" s="164"/>
      <c r="B761" s="170"/>
      <c r="C761" s="170"/>
      <c r="D761" s="169"/>
      <c r="E761" s="172"/>
      <c r="F761" s="164"/>
      <c r="G761" s="164"/>
      <c r="H761" s="409"/>
      <c r="I761" s="164"/>
    </row>
    <row r="762" spans="1:9" ht="15.75" customHeight="1" x14ac:dyDescent="0.2">
      <c r="A762" s="164"/>
      <c r="B762" s="170"/>
      <c r="C762" s="170"/>
      <c r="D762" s="169"/>
      <c r="E762" s="172"/>
      <c r="F762" s="164"/>
      <c r="G762" s="164"/>
      <c r="H762" s="409"/>
      <c r="I762" s="164"/>
    </row>
    <row r="763" spans="1:9" ht="15.75" customHeight="1" x14ac:dyDescent="0.2">
      <c r="A763" s="164"/>
      <c r="B763" s="170"/>
      <c r="C763" s="170"/>
      <c r="D763" s="169"/>
      <c r="E763" s="172"/>
      <c r="F763" s="164"/>
      <c r="G763" s="164"/>
      <c r="H763" s="409"/>
      <c r="I763" s="164"/>
    </row>
    <row r="764" spans="1:9" ht="15.75" customHeight="1" x14ac:dyDescent="0.2">
      <c r="A764" s="164"/>
      <c r="B764" s="170"/>
      <c r="C764" s="170"/>
      <c r="D764" s="169"/>
      <c r="E764" s="172"/>
      <c r="F764" s="164"/>
      <c r="G764" s="164"/>
      <c r="H764" s="409"/>
      <c r="I764" s="164"/>
    </row>
    <row r="765" spans="1:9" ht="15.75" customHeight="1" x14ac:dyDescent="0.2">
      <c r="A765" s="164"/>
      <c r="B765" s="170"/>
      <c r="C765" s="170"/>
      <c r="D765" s="169"/>
      <c r="E765" s="172"/>
      <c r="F765" s="164"/>
      <c r="G765" s="164"/>
      <c r="H765" s="409"/>
      <c r="I765" s="164"/>
    </row>
    <row r="766" spans="1:9" ht="15.75" customHeight="1" x14ac:dyDescent="0.2">
      <c r="A766" s="164"/>
      <c r="B766" s="170"/>
      <c r="C766" s="170"/>
      <c r="D766" s="169"/>
      <c r="E766" s="172"/>
      <c r="F766" s="164"/>
      <c r="G766" s="164"/>
      <c r="H766" s="409"/>
      <c r="I766" s="164"/>
    </row>
    <row r="767" spans="1:9" ht="15.75" customHeight="1" x14ac:dyDescent="0.2">
      <c r="A767" s="164"/>
      <c r="B767" s="170"/>
      <c r="C767" s="170"/>
      <c r="D767" s="169"/>
      <c r="E767" s="172"/>
      <c r="F767" s="164"/>
      <c r="G767" s="164"/>
      <c r="H767" s="409"/>
      <c r="I767" s="164"/>
    </row>
    <row r="768" spans="1:9" ht="15.75" customHeight="1" x14ac:dyDescent="0.2">
      <c r="A768" s="164"/>
      <c r="B768" s="170"/>
      <c r="C768" s="170"/>
      <c r="D768" s="169"/>
      <c r="E768" s="172"/>
      <c r="F768" s="164"/>
      <c r="G768" s="164"/>
      <c r="H768" s="409"/>
      <c r="I768" s="164"/>
    </row>
    <row r="769" spans="1:9" ht="15.75" customHeight="1" x14ac:dyDescent="0.2">
      <c r="A769" s="164"/>
      <c r="B769" s="170"/>
      <c r="C769" s="170"/>
      <c r="D769" s="169"/>
      <c r="E769" s="172"/>
      <c r="F769" s="164"/>
      <c r="G769" s="164"/>
      <c r="H769" s="409"/>
      <c r="I769" s="164"/>
    </row>
    <row r="770" spans="1:9" ht="15.75" customHeight="1" x14ac:dyDescent="0.2">
      <c r="A770" s="164"/>
      <c r="B770" s="170"/>
      <c r="C770" s="170"/>
      <c r="D770" s="169"/>
      <c r="E770" s="172"/>
      <c r="F770" s="164"/>
      <c r="G770" s="164"/>
      <c r="H770" s="409"/>
      <c r="I770" s="164"/>
    </row>
    <row r="771" spans="1:9" ht="15.75" customHeight="1" x14ac:dyDescent="0.2">
      <c r="A771" s="164"/>
      <c r="B771" s="170"/>
      <c r="C771" s="170"/>
      <c r="D771" s="169"/>
      <c r="E771" s="172"/>
      <c r="F771" s="164"/>
      <c r="G771" s="164"/>
      <c r="H771" s="409"/>
      <c r="I771" s="164"/>
    </row>
    <row r="772" spans="1:9" ht="15.75" customHeight="1" x14ac:dyDescent="0.2">
      <c r="A772" s="164"/>
      <c r="B772" s="170"/>
      <c r="C772" s="170"/>
      <c r="D772" s="169"/>
      <c r="E772" s="172"/>
      <c r="F772" s="164"/>
      <c r="G772" s="164"/>
      <c r="H772" s="409"/>
      <c r="I772" s="164"/>
    </row>
    <row r="773" spans="1:9" ht="15.75" customHeight="1" x14ac:dyDescent="0.2">
      <c r="A773" s="164"/>
      <c r="B773" s="170"/>
      <c r="C773" s="170"/>
      <c r="D773" s="169"/>
      <c r="E773" s="172"/>
      <c r="F773" s="164"/>
      <c r="G773" s="164"/>
      <c r="H773" s="409"/>
      <c r="I773" s="164"/>
    </row>
    <row r="774" spans="1:9" ht="15.75" customHeight="1" x14ac:dyDescent="0.2">
      <c r="A774" s="164"/>
      <c r="B774" s="170"/>
      <c r="C774" s="170"/>
      <c r="D774" s="169"/>
      <c r="E774" s="172"/>
      <c r="F774" s="164"/>
      <c r="G774" s="164"/>
      <c r="H774" s="409"/>
      <c r="I774" s="164"/>
    </row>
    <row r="775" spans="1:9" ht="15.75" customHeight="1" x14ac:dyDescent="0.2">
      <c r="A775" s="164"/>
      <c r="B775" s="170"/>
      <c r="C775" s="170"/>
      <c r="D775" s="169"/>
      <c r="E775" s="172"/>
      <c r="F775" s="164"/>
      <c r="G775" s="164"/>
      <c r="H775" s="409"/>
      <c r="I775" s="164"/>
    </row>
    <row r="776" spans="1:9" ht="15.75" customHeight="1" x14ac:dyDescent="0.2">
      <c r="A776" s="164"/>
      <c r="B776" s="170"/>
      <c r="C776" s="170"/>
      <c r="D776" s="169"/>
      <c r="E776" s="172"/>
      <c r="F776" s="164"/>
      <c r="G776" s="164"/>
      <c r="H776" s="409"/>
      <c r="I776" s="164"/>
    </row>
    <row r="777" spans="1:9" ht="15.75" customHeight="1" x14ac:dyDescent="0.2">
      <c r="A777" s="164"/>
      <c r="B777" s="170"/>
      <c r="C777" s="170"/>
      <c r="D777" s="169"/>
      <c r="E777" s="172"/>
      <c r="F777" s="164"/>
      <c r="G777" s="164"/>
      <c r="H777" s="409"/>
      <c r="I777" s="164"/>
    </row>
    <row r="778" spans="1:9" ht="15.75" customHeight="1" x14ac:dyDescent="0.2">
      <c r="A778" s="164"/>
      <c r="B778" s="170"/>
      <c r="C778" s="170"/>
      <c r="D778" s="169"/>
      <c r="E778" s="172"/>
      <c r="F778" s="164"/>
      <c r="G778" s="164"/>
      <c r="H778" s="409"/>
      <c r="I778" s="164"/>
    </row>
    <row r="779" spans="1:9" ht="15.75" customHeight="1" x14ac:dyDescent="0.2">
      <c r="A779" s="164"/>
      <c r="B779" s="170"/>
      <c r="C779" s="170"/>
      <c r="D779" s="169"/>
      <c r="E779" s="172"/>
      <c r="F779" s="164"/>
      <c r="G779" s="164"/>
      <c r="H779" s="409"/>
      <c r="I779" s="164"/>
    </row>
    <row r="780" spans="1:9" ht="15.75" customHeight="1" x14ac:dyDescent="0.2">
      <c r="A780" s="164"/>
      <c r="B780" s="170"/>
      <c r="C780" s="170"/>
      <c r="D780" s="169"/>
      <c r="E780" s="172"/>
      <c r="F780" s="164"/>
      <c r="G780" s="164"/>
      <c r="H780" s="409"/>
      <c r="I780" s="164"/>
    </row>
    <row r="781" spans="1:9" ht="15.75" customHeight="1" x14ac:dyDescent="0.2">
      <c r="A781" s="164"/>
      <c r="B781" s="170"/>
      <c r="C781" s="170"/>
      <c r="D781" s="169"/>
      <c r="E781" s="172"/>
      <c r="F781" s="164"/>
      <c r="G781" s="164"/>
      <c r="H781" s="409"/>
      <c r="I781" s="164"/>
    </row>
    <row r="782" spans="1:9" ht="15.75" customHeight="1" x14ac:dyDescent="0.2">
      <c r="A782" s="164"/>
      <c r="B782" s="170"/>
      <c r="C782" s="170"/>
      <c r="D782" s="169"/>
      <c r="E782" s="172"/>
      <c r="F782" s="164"/>
      <c r="G782" s="164"/>
      <c r="H782" s="409"/>
      <c r="I782" s="164"/>
    </row>
    <row r="783" spans="1:9" ht="15.75" customHeight="1" x14ac:dyDescent="0.2">
      <c r="A783" s="164"/>
      <c r="B783" s="170"/>
      <c r="C783" s="170"/>
      <c r="D783" s="169"/>
      <c r="E783" s="172"/>
      <c r="F783" s="164"/>
      <c r="G783" s="164"/>
      <c r="H783" s="409"/>
      <c r="I783" s="164"/>
    </row>
    <row r="784" spans="1:9" ht="15.75" customHeight="1" x14ac:dyDescent="0.2">
      <c r="A784" s="164"/>
      <c r="B784" s="170"/>
      <c r="C784" s="170"/>
      <c r="D784" s="169"/>
      <c r="E784" s="172"/>
      <c r="F784" s="164"/>
      <c r="G784" s="164"/>
      <c r="H784" s="409"/>
      <c r="I784" s="164"/>
    </row>
    <row r="785" spans="1:9" ht="15.75" customHeight="1" x14ac:dyDescent="0.2">
      <c r="A785" s="164"/>
      <c r="B785" s="170"/>
      <c r="C785" s="170"/>
      <c r="D785" s="169"/>
      <c r="E785" s="172"/>
      <c r="F785" s="164"/>
      <c r="G785" s="164"/>
      <c r="H785" s="409"/>
      <c r="I785" s="164"/>
    </row>
    <row r="786" spans="1:9" ht="15.75" customHeight="1" x14ac:dyDescent="0.2">
      <c r="A786" s="164"/>
      <c r="B786" s="170"/>
      <c r="C786" s="170"/>
      <c r="D786" s="169"/>
      <c r="E786" s="172"/>
      <c r="F786" s="164"/>
      <c r="G786" s="164"/>
      <c r="H786" s="409"/>
      <c r="I786" s="164"/>
    </row>
    <row r="787" spans="1:9" ht="15.75" customHeight="1" x14ac:dyDescent="0.2">
      <c r="A787" s="164"/>
      <c r="B787" s="170"/>
      <c r="C787" s="170"/>
      <c r="D787" s="169"/>
      <c r="E787" s="172"/>
      <c r="F787" s="164"/>
      <c r="G787" s="164"/>
      <c r="H787" s="409"/>
      <c r="I787" s="164"/>
    </row>
    <row r="788" spans="1:9" ht="15.75" customHeight="1" x14ac:dyDescent="0.2">
      <c r="A788" s="164"/>
      <c r="B788" s="170"/>
      <c r="C788" s="170"/>
      <c r="D788" s="169"/>
      <c r="E788" s="172"/>
      <c r="F788" s="164"/>
      <c r="G788" s="164"/>
      <c r="H788" s="409"/>
      <c r="I788" s="164"/>
    </row>
    <row r="789" spans="1:9" ht="15.75" customHeight="1" x14ac:dyDescent="0.2">
      <c r="A789" s="164"/>
      <c r="B789" s="170"/>
      <c r="C789" s="170"/>
      <c r="D789" s="169"/>
      <c r="E789" s="172"/>
      <c r="F789" s="164"/>
      <c r="G789" s="164"/>
      <c r="H789" s="409"/>
      <c r="I789" s="164"/>
    </row>
    <row r="790" spans="1:9" ht="15.75" customHeight="1" x14ac:dyDescent="0.2">
      <c r="A790" s="164"/>
      <c r="B790" s="170"/>
      <c r="C790" s="170"/>
      <c r="D790" s="169"/>
      <c r="E790" s="172"/>
      <c r="F790" s="164"/>
      <c r="G790" s="164"/>
      <c r="H790" s="409"/>
      <c r="I790" s="164"/>
    </row>
    <row r="791" spans="1:9" ht="15.75" customHeight="1" x14ac:dyDescent="0.2">
      <c r="A791" s="164"/>
      <c r="B791" s="170"/>
      <c r="C791" s="170"/>
      <c r="D791" s="169"/>
      <c r="E791" s="172"/>
      <c r="F791" s="164"/>
      <c r="G791" s="164"/>
      <c r="H791" s="409"/>
      <c r="I791" s="164"/>
    </row>
    <row r="792" spans="1:9" ht="15.75" customHeight="1" x14ac:dyDescent="0.2">
      <c r="A792" s="164"/>
      <c r="B792" s="170"/>
      <c r="C792" s="170"/>
      <c r="D792" s="169"/>
      <c r="E792" s="172"/>
      <c r="F792" s="164"/>
      <c r="G792" s="164"/>
      <c r="H792" s="409"/>
      <c r="I792" s="164"/>
    </row>
    <row r="793" spans="1:9" ht="15.75" customHeight="1" x14ac:dyDescent="0.2">
      <c r="A793" s="164"/>
      <c r="B793" s="170"/>
      <c r="C793" s="170"/>
      <c r="D793" s="169"/>
      <c r="E793" s="172"/>
      <c r="F793" s="164"/>
      <c r="G793" s="164"/>
      <c r="H793" s="409"/>
      <c r="I793" s="164"/>
    </row>
    <row r="794" spans="1:9" ht="15.75" customHeight="1" x14ac:dyDescent="0.2">
      <c r="A794" s="164"/>
      <c r="B794" s="170"/>
      <c r="C794" s="170"/>
      <c r="D794" s="169"/>
      <c r="E794" s="172"/>
      <c r="F794" s="164"/>
      <c r="G794" s="164"/>
      <c r="H794" s="409"/>
      <c r="I794" s="164"/>
    </row>
    <row r="795" spans="1:9" ht="15.75" customHeight="1" x14ac:dyDescent="0.2">
      <c r="A795" s="164"/>
      <c r="B795" s="170"/>
      <c r="C795" s="170"/>
      <c r="D795" s="169"/>
      <c r="E795" s="172"/>
      <c r="F795" s="164"/>
      <c r="G795" s="164"/>
      <c r="H795" s="409"/>
      <c r="I795" s="164"/>
    </row>
    <row r="796" spans="1:9" ht="15.75" customHeight="1" x14ac:dyDescent="0.2">
      <c r="A796" s="164"/>
      <c r="B796" s="170"/>
      <c r="C796" s="170"/>
      <c r="D796" s="169"/>
      <c r="E796" s="172"/>
      <c r="F796" s="164"/>
      <c r="G796" s="164"/>
      <c r="H796" s="409"/>
      <c r="I796" s="164"/>
    </row>
    <row r="797" spans="1:9" ht="15.75" customHeight="1" x14ac:dyDescent="0.2">
      <c r="A797" s="164"/>
      <c r="B797" s="170"/>
      <c r="C797" s="170"/>
      <c r="D797" s="169"/>
      <c r="E797" s="172"/>
      <c r="F797" s="164"/>
      <c r="G797" s="164"/>
      <c r="H797" s="409"/>
      <c r="I797" s="164"/>
    </row>
    <row r="798" spans="1:9" ht="15.75" customHeight="1" x14ac:dyDescent="0.2">
      <c r="A798" s="164"/>
      <c r="B798" s="170"/>
      <c r="C798" s="170"/>
      <c r="D798" s="169"/>
      <c r="E798" s="172"/>
      <c r="F798" s="164"/>
      <c r="G798" s="164"/>
      <c r="H798" s="409"/>
      <c r="I798" s="164"/>
    </row>
    <row r="799" spans="1:9" ht="15.75" customHeight="1" x14ac:dyDescent="0.2">
      <c r="A799" s="164"/>
      <c r="B799" s="170"/>
      <c r="C799" s="170"/>
      <c r="D799" s="169"/>
      <c r="E799" s="172"/>
      <c r="F799" s="164"/>
      <c r="G799" s="164"/>
      <c r="H799" s="409"/>
      <c r="I799" s="164"/>
    </row>
    <row r="800" spans="1:9" ht="15.75" customHeight="1" x14ac:dyDescent="0.2">
      <c r="A800" s="164"/>
      <c r="B800" s="170"/>
      <c r="C800" s="170"/>
      <c r="D800" s="169"/>
      <c r="E800" s="172"/>
      <c r="F800" s="164"/>
      <c r="G800" s="164"/>
      <c r="H800" s="409"/>
      <c r="I800" s="164"/>
    </row>
    <row r="801" spans="1:9" ht="15.75" customHeight="1" x14ac:dyDescent="0.2">
      <c r="A801" s="164"/>
      <c r="B801" s="170"/>
      <c r="C801" s="170"/>
      <c r="D801" s="169"/>
      <c r="E801" s="172"/>
      <c r="F801" s="164"/>
      <c r="G801" s="164"/>
      <c r="H801" s="409"/>
      <c r="I801" s="164"/>
    </row>
    <row r="802" spans="1:9" ht="15.75" customHeight="1" x14ac:dyDescent="0.2">
      <c r="A802" s="164"/>
      <c r="B802" s="170"/>
      <c r="C802" s="170"/>
      <c r="D802" s="169"/>
      <c r="E802" s="172"/>
      <c r="F802" s="164"/>
      <c r="G802" s="164"/>
      <c r="H802" s="409"/>
      <c r="I802" s="164"/>
    </row>
    <row r="803" spans="1:9" ht="15.75" customHeight="1" x14ac:dyDescent="0.2">
      <c r="A803" s="164"/>
      <c r="B803" s="170"/>
      <c r="C803" s="170"/>
      <c r="D803" s="169"/>
      <c r="E803" s="172"/>
      <c r="F803" s="164"/>
      <c r="G803" s="164"/>
      <c r="H803" s="409"/>
      <c r="I803" s="164"/>
    </row>
    <row r="804" spans="1:9" ht="15.75" customHeight="1" x14ac:dyDescent="0.2">
      <c r="A804" s="164"/>
      <c r="B804" s="170"/>
      <c r="C804" s="170"/>
      <c r="D804" s="169"/>
      <c r="E804" s="172"/>
      <c r="F804" s="164"/>
      <c r="G804" s="164"/>
      <c r="H804" s="409"/>
      <c r="I804" s="164"/>
    </row>
    <row r="805" spans="1:9" ht="15.75" customHeight="1" x14ac:dyDescent="0.2">
      <c r="A805" s="164"/>
      <c r="B805" s="170"/>
      <c r="C805" s="170"/>
      <c r="D805" s="169"/>
      <c r="E805" s="172"/>
      <c r="F805" s="164"/>
      <c r="G805" s="164"/>
      <c r="H805" s="409"/>
      <c r="I805" s="164"/>
    </row>
    <row r="806" spans="1:9" ht="15.75" customHeight="1" x14ac:dyDescent="0.2">
      <c r="A806" s="164"/>
      <c r="B806" s="170"/>
      <c r="C806" s="170"/>
      <c r="D806" s="169"/>
      <c r="E806" s="172"/>
      <c r="F806" s="164"/>
      <c r="G806" s="164"/>
      <c r="H806" s="409"/>
      <c r="I806" s="164"/>
    </row>
    <row r="807" spans="1:9" ht="15.75" customHeight="1" x14ac:dyDescent="0.2">
      <c r="A807" s="164"/>
      <c r="B807" s="170"/>
      <c r="C807" s="170"/>
      <c r="D807" s="169"/>
      <c r="E807" s="172"/>
      <c r="F807" s="164"/>
      <c r="G807" s="164"/>
      <c r="H807" s="409"/>
      <c r="I807" s="164"/>
    </row>
    <row r="808" spans="1:9" ht="15.75" customHeight="1" x14ac:dyDescent="0.2">
      <c r="A808" s="164"/>
      <c r="B808" s="170"/>
      <c r="C808" s="170"/>
      <c r="D808" s="169"/>
      <c r="E808" s="172"/>
      <c r="F808" s="164"/>
      <c r="G808" s="164"/>
      <c r="H808" s="409"/>
      <c r="I808" s="164"/>
    </row>
    <row r="809" spans="1:9" ht="15.75" customHeight="1" x14ac:dyDescent="0.2">
      <c r="A809" s="164"/>
      <c r="B809" s="170"/>
      <c r="C809" s="170"/>
      <c r="D809" s="169"/>
      <c r="E809" s="172"/>
      <c r="F809" s="164"/>
      <c r="G809" s="164"/>
      <c r="H809" s="409"/>
      <c r="I809" s="164"/>
    </row>
    <row r="810" spans="1:9" ht="15.75" customHeight="1" x14ac:dyDescent="0.2">
      <c r="A810" s="164"/>
      <c r="B810" s="170"/>
      <c r="C810" s="170"/>
      <c r="D810" s="169"/>
      <c r="E810" s="172"/>
      <c r="F810" s="164"/>
      <c r="G810" s="164"/>
      <c r="H810" s="409"/>
      <c r="I810" s="164"/>
    </row>
    <row r="811" spans="1:9" ht="15.75" customHeight="1" x14ac:dyDescent="0.2">
      <c r="A811" s="164"/>
      <c r="B811" s="170"/>
      <c r="C811" s="170"/>
      <c r="D811" s="169"/>
      <c r="E811" s="172"/>
      <c r="F811" s="164"/>
      <c r="G811" s="164"/>
      <c r="H811" s="409"/>
      <c r="I811" s="164"/>
    </row>
    <row r="812" spans="1:9" ht="15.75" customHeight="1" x14ac:dyDescent="0.2">
      <c r="A812" s="164"/>
      <c r="B812" s="170"/>
      <c r="C812" s="170"/>
      <c r="D812" s="169"/>
      <c r="E812" s="172"/>
      <c r="F812" s="164"/>
      <c r="G812" s="164"/>
      <c r="H812" s="409"/>
      <c r="I812" s="164"/>
    </row>
    <row r="813" spans="1:9" ht="15.75" customHeight="1" x14ac:dyDescent="0.2">
      <c r="A813" s="164"/>
      <c r="B813" s="170"/>
      <c r="C813" s="170"/>
      <c r="D813" s="169"/>
      <c r="E813" s="172"/>
      <c r="F813" s="164"/>
      <c r="G813" s="164"/>
      <c r="H813" s="409"/>
      <c r="I813" s="164"/>
    </row>
    <row r="814" spans="1:9" ht="15.75" customHeight="1" x14ac:dyDescent="0.2">
      <c r="A814" s="164"/>
      <c r="B814" s="170"/>
      <c r="C814" s="170"/>
      <c r="D814" s="169"/>
      <c r="E814" s="172"/>
      <c r="F814" s="164"/>
      <c r="G814" s="164"/>
      <c r="H814" s="409"/>
      <c r="I814" s="164"/>
    </row>
    <row r="815" spans="1:9" ht="15.75" customHeight="1" x14ac:dyDescent="0.2">
      <c r="A815" s="164"/>
      <c r="B815" s="170"/>
      <c r="C815" s="170"/>
      <c r="D815" s="169"/>
      <c r="E815" s="172"/>
      <c r="F815" s="164"/>
      <c r="G815" s="164"/>
      <c r="H815" s="409"/>
      <c r="I815" s="164"/>
    </row>
    <row r="816" spans="1:9" ht="15.75" customHeight="1" x14ac:dyDescent="0.2">
      <c r="A816" s="164"/>
      <c r="B816" s="170"/>
      <c r="C816" s="170"/>
      <c r="D816" s="169"/>
      <c r="E816" s="172"/>
      <c r="F816" s="164"/>
      <c r="G816" s="164"/>
      <c r="H816" s="409"/>
      <c r="I816" s="164"/>
    </row>
    <row r="817" spans="1:9" ht="15.75" customHeight="1" x14ac:dyDescent="0.2">
      <c r="A817" s="164"/>
      <c r="B817" s="170"/>
      <c r="C817" s="170"/>
      <c r="D817" s="169"/>
      <c r="E817" s="172"/>
      <c r="F817" s="164"/>
      <c r="G817" s="164"/>
      <c r="H817" s="409"/>
      <c r="I817" s="164"/>
    </row>
    <row r="818" spans="1:9" ht="15.75" customHeight="1" x14ac:dyDescent="0.2">
      <c r="A818" s="164"/>
      <c r="B818" s="170"/>
      <c r="C818" s="170"/>
      <c r="D818" s="169"/>
      <c r="E818" s="172"/>
      <c r="F818" s="164"/>
      <c r="G818" s="164"/>
      <c r="H818" s="409"/>
      <c r="I818" s="164"/>
    </row>
    <row r="819" spans="1:9" ht="15.75" customHeight="1" x14ac:dyDescent="0.2">
      <c r="A819" s="164"/>
      <c r="B819" s="170"/>
      <c r="C819" s="170"/>
      <c r="D819" s="169"/>
      <c r="E819" s="172"/>
      <c r="F819" s="164"/>
      <c r="G819" s="164"/>
      <c r="H819" s="409"/>
      <c r="I819" s="164"/>
    </row>
    <row r="820" spans="1:9" ht="15.75" customHeight="1" x14ac:dyDescent="0.2">
      <c r="A820" s="164"/>
      <c r="B820" s="170"/>
      <c r="C820" s="170"/>
      <c r="D820" s="169"/>
      <c r="E820" s="172"/>
      <c r="F820" s="164"/>
      <c r="G820" s="164"/>
      <c r="H820" s="409"/>
      <c r="I820" s="164"/>
    </row>
    <row r="821" spans="1:9" ht="15.75" customHeight="1" x14ac:dyDescent="0.2">
      <c r="A821" s="164"/>
      <c r="B821" s="170"/>
      <c r="C821" s="170"/>
      <c r="D821" s="169"/>
      <c r="E821" s="172"/>
      <c r="F821" s="164"/>
      <c r="G821" s="164"/>
      <c r="H821" s="409"/>
      <c r="I821" s="164"/>
    </row>
    <row r="822" spans="1:9" ht="15.75" customHeight="1" x14ac:dyDescent="0.2">
      <c r="A822" s="164"/>
      <c r="B822" s="170"/>
      <c r="C822" s="170"/>
      <c r="D822" s="169"/>
      <c r="E822" s="172"/>
      <c r="F822" s="164"/>
      <c r="G822" s="164"/>
      <c r="H822" s="409"/>
      <c r="I822" s="164"/>
    </row>
    <row r="823" spans="1:9" ht="15.75" customHeight="1" x14ac:dyDescent="0.2">
      <c r="A823" s="164"/>
      <c r="B823" s="170"/>
      <c r="C823" s="170"/>
      <c r="D823" s="169"/>
      <c r="E823" s="172"/>
      <c r="F823" s="164"/>
      <c r="G823" s="164"/>
      <c r="H823" s="409"/>
      <c r="I823" s="164"/>
    </row>
    <row r="824" spans="1:9" ht="15.75" customHeight="1" x14ac:dyDescent="0.2">
      <c r="A824" s="164"/>
      <c r="B824" s="170"/>
      <c r="C824" s="170"/>
      <c r="D824" s="169"/>
      <c r="E824" s="172"/>
      <c r="F824" s="164"/>
      <c r="G824" s="164"/>
      <c r="H824" s="409"/>
      <c r="I824" s="164"/>
    </row>
    <row r="825" spans="1:9" ht="15.75" customHeight="1" x14ac:dyDescent="0.2">
      <c r="A825" s="164"/>
      <c r="B825" s="170"/>
      <c r="C825" s="170"/>
      <c r="D825" s="169"/>
      <c r="E825" s="172"/>
      <c r="F825" s="164"/>
      <c r="G825" s="164"/>
      <c r="H825" s="409"/>
      <c r="I825" s="164"/>
    </row>
    <row r="826" spans="1:9" ht="15.75" customHeight="1" x14ac:dyDescent="0.2">
      <c r="A826" s="164"/>
      <c r="B826" s="170"/>
      <c r="C826" s="170"/>
      <c r="D826" s="169"/>
      <c r="E826" s="172"/>
      <c r="F826" s="164"/>
      <c r="G826" s="164"/>
      <c r="H826" s="409"/>
      <c r="I826" s="164"/>
    </row>
    <row r="827" spans="1:9" ht="15.75" customHeight="1" x14ac:dyDescent="0.2">
      <c r="A827" s="164"/>
      <c r="B827" s="170"/>
      <c r="C827" s="170"/>
      <c r="D827" s="169"/>
      <c r="E827" s="172"/>
      <c r="F827" s="164"/>
      <c r="G827" s="164"/>
      <c r="H827" s="409"/>
      <c r="I827" s="164"/>
    </row>
    <row r="828" spans="1:9" ht="15.75" customHeight="1" x14ac:dyDescent="0.2">
      <c r="A828" s="164"/>
      <c r="B828" s="170"/>
      <c r="C828" s="170"/>
      <c r="D828" s="169"/>
      <c r="E828" s="172"/>
      <c r="F828" s="164"/>
      <c r="G828" s="164"/>
      <c r="H828" s="409"/>
      <c r="I828" s="164"/>
    </row>
    <row r="829" spans="1:9" ht="15.75" customHeight="1" x14ac:dyDescent="0.2">
      <c r="A829" s="164"/>
      <c r="B829" s="170"/>
      <c r="C829" s="170"/>
      <c r="D829" s="169"/>
      <c r="E829" s="172"/>
      <c r="F829" s="164"/>
      <c r="G829" s="164"/>
      <c r="H829" s="409"/>
      <c r="I829" s="164"/>
    </row>
    <row r="830" spans="1:9" ht="15.75" customHeight="1" x14ac:dyDescent="0.2">
      <c r="A830" s="164"/>
      <c r="B830" s="170"/>
      <c r="C830" s="170"/>
      <c r="D830" s="169"/>
      <c r="E830" s="172"/>
      <c r="F830" s="164"/>
      <c r="G830" s="164"/>
      <c r="H830" s="409"/>
      <c r="I830" s="164"/>
    </row>
    <row r="831" spans="1:9" ht="15.75" customHeight="1" x14ac:dyDescent="0.2">
      <c r="A831" s="164"/>
      <c r="B831" s="170"/>
      <c r="C831" s="170"/>
      <c r="D831" s="169"/>
      <c r="E831" s="172"/>
      <c r="F831" s="164"/>
      <c r="G831" s="164"/>
      <c r="H831" s="409"/>
      <c r="I831" s="164"/>
    </row>
    <row r="832" spans="1:9" ht="15.75" customHeight="1" x14ac:dyDescent="0.2">
      <c r="A832" s="164"/>
      <c r="B832" s="170"/>
      <c r="C832" s="170"/>
      <c r="D832" s="169"/>
      <c r="E832" s="172"/>
      <c r="F832" s="164"/>
      <c r="G832" s="164"/>
      <c r="H832" s="409"/>
      <c r="I832" s="164"/>
    </row>
    <row r="833" spans="1:9" ht="15.75" customHeight="1" x14ac:dyDescent="0.2">
      <c r="A833" s="164"/>
      <c r="B833" s="170"/>
      <c r="C833" s="170"/>
      <c r="D833" s="169"/>
      <c r="E833" s="172"/>
      <c r="F833" s="164"/>
      <c r="G833" s="164"/>
      <c r="H833" s="409"/>
      <c r="I833" s="164"/>
    </row>
    <row r="834" spans="1:9" ht="15.75" customHeight="1" x14ac:dyDescent="0.2">
      <c r="A834" s="164"/>
      <c r="B834" s="170"/>
      <c r="C834" s="170"/>
      <c r="D834" s="169"/>
      <c r="E834" s="172"/>
      <c r="F834" s="164"/>
      <c r="G834" s="164"/>
      <c r="H834" s="409"/>
      <c r="I834" s="164"/>
    </row>
    <row r="835" spans="1:9" ht="15.75" customHeight="1" x14ac:dyDescent="0.2">
      <c r="A835" s="164"/>
      <c r="B835" s="170"/>
      <c r="C835" s="170"/>
      <c r="D835" s="169"/>
      <c r="E835" s="172"/>
      <c r="F835" s="164"/>
      <c r="G835" s="164"/>
      <c r="H835" s="409"/>
      <c r="I835" s="164"/>
    </row>
    <row r="836" spans="1:9" ht="15.75" customHeight="1" x14ac:dyDescent="0.2">
      <c r="A836" s="164"/>
      <c r="B836" s="170"/>
      <c r="C836" s="170"/>
      <c r="D836" s="169"/>
      <c r="E836" s="172"/>
      <c r="F836" s="164"/>
      <c r="G836" s="164"/>
      <c r="H836" s="409"/>
      <c r="I836" s="164"/>
    </row>
    <row r="837" spans="1:9" ht="15.75" customHeight="1" x14ac:dyDescent="0.2">
      <c r="A837" s="164"/>
      <c r="B837" s="170"/>
      <c r="C837" s="170"/>
      <c r="D837" s="169"/>
      <c r="E837" s="172"/>
      <c r="F837" s="164"/>
      <c r="G837" s="164"/>
      <c r="H837" s="409"/>
      <c r="I837" s="164"/>
    </row>
    <row r="838" spans="1:9" ht="15.75" customHeight="1" x14ac:dyDescent="0.2">
      <c r="A838" s="164"/>
      <c r="B838" s="170"/>
      <c r="C838" s="170"/>
      <c r="D838" s="169"/>
      <c r="E838" s="172"/>
      <c r="F838" s="164"/>
      <c r="G838" s="164"/>
      <c r="H838" s="409"/>
      <c r="I838" s="164"/>
    </row>
    <row r="839" spans="1:9" ht="15.75" customHeight="1" x14ac:dyDescent="0.2">
      <c r="A839" s="164"/>
      <c r="B839" s="170"/>
      <c r="C839" s="170"/>
      <c r="D839" s="169"/>
      <c r="E839" s="172"/>
      <c r="F839" s="164"/>
      <c r="G839" s="164"/>
      <c r="H839" s="409"/>
      <c r="I839" s="164"/>
    </row>
    <row r="840" spans="1:9" ht="15.75" customHeight="1" x14ac:dyDescent="0.2">
      <c r="A840" s="164"/>
      <c r="B840" s="170"/>
      <c r="C840" s="170"/>
      <c r="D840" s="169"/>
      <c r="E840" s="172"/>
      <c r="F840" s="164"/>
      <c r="G840" s="164"/>
      <c r="H840" s="409"/>
      <c r="I840" s="164"/>
    </row>
    <row r="841" spans="1:9" ht="15.75" customHeight="1" x14ac:dyDescent="0.2">
      <c r="A841" s="164"/>
      <c r="B841" s="170"/>
      <c r="C841" s="170"/>
      <c r="D841" s="169"/>
      <c r="E841" s="172"/>
      <c r="F841" s="164"/>
      <c r="G841" s="164"/>
      <c r="H841" s="409"/>
      <c r="I841" s="164"/>
    </row>
    <row r="842" spans="1:9" ht="15.75" customHeight="1" x14ac:dyDescent="0.2">
      <c r="A842" s="164"/>
      <c r="B842" s="170"/>
      <c r="C842" s="170"/>
      <c r="D842" s="169"/>
      <c r="E842" s="172"/>
      <c r="F842" s="164"/>
      <c r="G842" s="164"/>
      <c r="H842" s="409"/>
      <c r="I842" s="164"/>
    </row>
    <row r="843" spans="1:9" ht="15.75" customHeight="1" x14ac:dyDescent="0.2">
      <c r="A843" s="164"/>
      <c r="B843" s="170"/>
      <c r="C843" s="170"/>
      <c r="D843" s="169"/>
      <c r="E843" s="172"/>
      <c r="F843" s="164"/>
      <c r="G843" s="164"/>
      <c r="H843" s="409"/>
      <c r="I843" s="164"/>
    </row>
    <row r="844" spans="1:9" ht="15.75" customHeight="1" x14ac:dyDescent="0.2">
      <c r="A844" s="164"/>
      <c r="B844" s="170"/>
      <c r="C844" s="170"/>
      <c r="D844" s="169"/>
      <c r="E844" s="172"/>
      <c r="F844" s="164"/>
      <c r="G844" s="164"/>
      <c r="H844" s="409"/>
      <c r="I844" s="164"/>
    </row>
    <row r="845" spans="1:9" ht="15.75" customHeight="1" x14ac:dyDescent="0.2">
      <c r="A845" s="164"/>
      <c r="B845" s="170"/>
      <c r="C845" s="170"/>
      <c r="D845" s="169"/>
      <c r="E845" s="172"/>
      <c r="F845" s="164"/>
      <c r="G845" s="164"/>
      <c r="H845" s="409"/>
      <c r="I845" s="164"/>
    </row>
    <row r="846" spans="1:9" ht="15.75" customHeight="1" x14ac:dyDescent="0.2">
      <c r="A846" s="164"/>
      <c r="B846" s="170"/>
      <c r="C846" s="170"/>
      <c r="D846" s="169"/>
      <c r="E846" s="172"/>
      <c r="F846" s="164"/>
      <c r="G846" s="164"/>
      <c r="H846" s="409"/>
      <c r="I846" s="164"/>
    </row>
    <row r="847" spans="1:9" ht="15.75" customHeight="1" x14ac:dyDescent="0.2">
      <c r="A847" s="164"/>
      <c r="B847" s="170"/>
      <c r="C847" s="170"/>
      <c r="D847" s="169"/>
      <c r="E847" s="172"/>
      <c r="F847" s="164"/>
      <c r="G847" s="164"/>
      <c r="H847" s="409"/>
      <c r="I847" s="164"/>
    </row>
    <row r="848" spans="1:9" ht="15.75" customHeight="1" x14ac:dyDescent="0.2">
      <c r="A848" s="164"/>
      <c r="B848" s="170"/>
      <c r="C848" s="170"/>
      <c r="D848" s="169"/>
      <c r="E848" s="172"/>
      <c r="F848" s="164"/>
      <c r="G848" s="164"/>
      <c r="H848" s="409"/>
      <c r="I848" s="164"/>
    </row>
    <row r="849" spans="1:9" ht="15.75" customHeight="1" x14ac:dyDescent="0.2">
      <c r="A849" s="164"/>
      <c r="B849" s="170"/>
      <c r="C849" s="170"/>
      <c r="D849" s="169"/>
      <c r="E849" s="172"/>
      <c r="F849" s="164"/>
      <c r="G849" s="164"/>
      <c r="H849" s="409"/>
      <c r="I849" s="164"/>
    </row>
    <row r="850" spans="1:9" ht="15.75" customHeight="1" x14ac:dyDescent="0.2">
      <c r="A850" s="164"/>
      <c r="B850" s="170"/>
      <c r="C850" s="170"/>
      <c r="D850" s="169"/>
      <c r="E850" s="172"/>
      <c r="F850" s="164"/>
      <c r="G850" s="164"/>
      <c r="H850" s="409"/>
      <c r="I850" s="164"/>
    </row>
    <row r="851" spans="1:9" ht="15.75" customHeight="1" x14ac:dyDescent="0.2">
      <c r="A851" s="164"/>
      <c r="B851" s="170"/>
      <c r="C851" s="170"/>
      <c r="D851" s="169"/>
      <c r="E851" s="172"/>
      <c r="F851" s="164"/>
      <c r="G851" s="164"/>
      <c r="H851" s="409"/>
      <c r="I851" s="164"/>
    </row>
    <row r="852" spans="1:9" ht="15.75" customHeight="1" x14ac:dyDescent="0.2">
      <c r="A852" s="164"/>
      <c r="B852" s="170"/>
      <c r="C852" s="170"/>
      <c r="D852" s="169"/>
      <c r="E852" s="172"/>
      <c r="F852" s="164"/>
      <c r="G852" s="164"/>
      <c r="H852" s="409"/>
      <c r="I852" s="164"/>
    </row>
    <row r="853" spans="1:9" ht="15.75" customHeight="1" x14ac:dyDescent="0.2">
      <c r="A853" s="164"/>
      <c r="B853" s="170"/>
      <c r="C853" s="170"/>
      <c r="D853" s="169"/>
      <c r="E853" s="172"/>
      <c r="F853" s="164"/>
      <c r="G853" s="164"/>
      <c r="H853" s="409"/>
      <c r="I853" s="164"/>
    </row>
    <row r="854" spans="1:9" ht="15.75" customHeight="1" x14ac:dyDescent="0.2">
      <c r="A854" s="164"/>
      <c r="B854" s="170"/>
      <c r="C854" s="170"/>
      <c r="D854" s="169"/>
      <c r="E854" s="172"/>
      <c r="F854" s="164"/>
      <c r="G854" s="164"/>
      <c r="H854" s="409"/>
      <c r="I854" s="164"/>
    </row>
    <row r="855" spans="1:9" ht="15.75" customHeight="1" x14ac:dyDescent="0.2">
      <c r="A855" s="164"/>
      <c r="B855" s="170"/>
      <c r="C855" s="170"/>
      <c r="D855" s="169"/>
      <c r="E855" s="172"/>
      <c r="F855" s="164"/>
      <c r="G855" s="164"/>
      <c r="H855" s="409"/>
      <c r="I855" s="164"/>
    </row>
    <row r="856" spans="1:9" ht="15.75" customHeight="1" x14ac:dyDescent="0.2">
      <c r="A856" s="164"/>
      <c r="B856" s="170"/>
      <c r="C856" s="170"/>
      <c r="D856" s="169"/>
      <c r="E856" s="172"/>
      <c r="F856" s="164"/>
      <c r="G856" s="164"/>
      <c r="H856" s="409"/>
      <c r="I856" s="164"/>
    </row>
    <row r="857" spans="1:9" ht="15.75" customHeight="1" x14ac:dyDescent="0.2">
      <c r="A857" s="164"/>
      <c r="B857" s="170"/>
      <c r="C857" s="170"/>
      <c r="D857" s="169"/>
      <c r="E857" s="172"/>
      <c r="F857" s="164"/>
      <c r="G857" s="164"/>
      <c r="H857" s="409"/>
      <c r="I857" s="164"/>
    </row>
    <row r="858" spans="1:9" ht="15.75" customHeight="1" x14ac:dyDescent="0.2">
      <c r="A858" s="164"/>
      <c r="B858" s="170"/>
      <c r="C858" s="170"/>
      <c r="D858" s="169"/>
      <c r="E858" s="172"/>
      <c r="F858" s="164"/>
      <c r="G858" s="164"/>
      <c r="H858" s="409"/>
      <c r="I858" s="164"/>
    </row>
    <row r="859" spans="1:9" ht="15.75" customHeight="1" x14ac:dyDescent="0.2">
      <c r="A859" s="164"/>
      <c r="B859" s="170"/>
      <c r="C859" s="170"/>
      <c r="D859" s="169"/>
      <c r="E859" s="172"/>
      <c r="F859" s="164"/>
      <c r="G859" s="164"/>
      <c r="H859" s="409"/>
      <c r="I859" s="164"/>
    </row>
    <row r="860" spans="1:9" ht="15.75" customHeight="1" x14ac:dyDescent="0.2">
      <c r="A860" s="164"/>
      <c r="B860" s="170"/>
      <c r="C860" s="170"/>
      <c r="D860" s="169"/>
      <c r="E860" s="172"/>
      <c r="F860" s="164"/>
      <c r="G860" s="164"/>
      <c r="H860" s="409"/>
      <c r="I860" s="164"/>
    </row>
    <row r="861" spans="1:9" ht="15.75" customHeight="1" x14ac:dyDescent="0.2">
      <c r="A861" s="164"/>
      <c r="B861" s="170"/>
      <c r="C861" s="170"/>
      <c r="D861" s="169"/>
      <c r="E861" s="172"/>
      <c r="F861" s="164"/>
      <c r="G861" s="164"/>
      <c r="H861" s="409"/>
      <c r="I861" s="164"/>
    </row>
    <row r="862" spans="1:9" ht="15.75" customHeight="1" x14ac:dyDescent="0.2">
      <c r="A862" s="164"/>
      <c r="B862" s="170"/>
      <c r="C862" s="170"/>
      <c r="D862" s="169"/>
      <c r="E862" s="172"/>
      <c r="F862" s="164"/>
      <c r="G862" s="164"/>
      <c r="H862" s="409"/>
      <c r="I862" s="164"/>
    </row>
    <row r="863" spans="1:9" ht="15.75" customHeight="1" x14ac:dyDescent="0.2">
      <c r="A863" s="164"/>
      <c r="B863" s="170"/>
      <c r="C863" s="170"/>
      <c r="D863" s="169"/>
      <c r="E863" s="172"/>
      <c r="F863" s="164"/>
      <c r="G863" s="164"/>
      <c r="H863" s="409"/>
      <c r="I863" s="164"/>
    </row>
    <row r="864" spans="1:9" ht="15.75" customHeight="1" x14ac:dyDescent="0.2">
      <c r="A864" s="164"/>
      <c r="B864" s="170"/>
      <c r="C864" s="170"/>
      <c r="D864" s="169"/>
      <c r="E864" s="172"/>
      <c r="F864" s="164"/>
      <c r="G864" s="164"/>
      <c r="H864" s="409"/>
      <c r="I864" s="164"/>
    </row>
    <row r="865" spans="1:9" ht="15.75" customHeight="1" x14ac:dyDescent="0.2">
      <c r="A865" s="164"/>
      <c r="B865" s="170"/>
      <c r="C865" s="170"/>
      <c r="D865" s="169"/>
      <c r="E865" s="172"/>
      <c r="F865" s="164"/>
      <c r="G865" s="164"/>
      <c r="H865" s="409"/>
      <c r="I865" s="164"/>
    </row>
    <row r="866" spans="1:9" ht="15.75" customHeight="1" x14ac:dyDescent="0.2">
      <c r="A866" s="164"/>
      <c r="B866" s="170"/>
      <c r="C866" s="170"/>
      <c r="D866" s="169"/>
      <c r="E866" s="172"/>
      <c r="F866" s="164"/>
      <c r="G866" s="164"/>
      <c r="H866" s="409"/>
      <c r="I866" s="164"/>
    </row>
    <row r="867" spans="1:9" ht="15.75" customHeight="1" x14ac:dyDescent="0.2">
      <c r="A867" s="164"/>
      <c r="B867" s="170"/>
      <c r="C867" s="170"/>
      <c r="D867" s="169"/>
      <c r="E867" s="172"/>
      <c r="F867" s="164"/>
      <c r="G867" s="164"/>
      <c r="H867" s="409"/>
      <c r="I867" s="164"/>
    </row>
    <row r="868" spans="1:9" ht="15.75" customHeight="1" x14ac:dyDescent="0.2">
      <c r="A868" s="164"/>
      <c r="B868" s="170"/>
      <c r="C868" s="170"/>
      <c r="D868" s="169"/>
      <c r="E868" s="172"/>
      <c r="F868" s="164"/>
      <c r="G868" s="164"/>
      <c r="H868" s="409"/>
      <c r="I868" s="164"/>
    </row>
    <row r="869" spans="1:9" ht="15.75" customHeight="1" x14ac:dyDescent="0.2">
      <c r="A869" s="164"/>
      <c r="B869" s="170"/>
      <c r="C869" s="170"/>
      <c r="D869" s="169"/>
      <c r="E869" s="172"/>
      <c r="F869" s="164"/>
      <c r="G869" s="164"/>
      <c r="H869" s="409"/>
      <c r="I869" s="164"/>
    </row>
    <row r="870" spans="1:9" ht="15.75" customHeight="1" x14ac:dyDescent="0.2">
      <c r="A870" s="164"/>
      <c r="B870" s="170"/>
      <c r="C870" s="170"/>
      <c r="D870" s="169"/>
      <c r="E870" s="172"/>
      <c r="F870" s="164"/>
      <c r="G870" s="164"/>
      <c r="H870" s="409"/>
      <c r="I870" s="164"/>
    </row>
    <row r="871" spans="1:9" ht="15.75" customHeight="1" x14ac:dyDescent="0.2">
      <c r="A871" s="164"/>
      <c r="B871" s="170"/>
      <c r="C871" s="170"/>
      <c r="D871" s="169"/>
      <c r="E871" s="172"/>
      <c r="F871" s="164"/>
      <c r="G871" s="164"/>
      <c r="H871" s="409"/>
      <c r="I871" s="164"/>
    </row>
    <row r="872" spans="1:9" ht="15.75" customHeight="1" x14ac:dyDescent="0.2">
      <c r="A872" s="164"/>
      <c r="B872" s="170"/>
      <c r="C872" s="170"/>
      <c r="D872" s="169"/>
      <c r="E872" s="172"/>
      <c r="F872" s="164"/>
      <c r="G872" s="164"/>
      <c r="H872" s="409"/>
      <c r="I872" s="164"/>
    </row>
    <row r="873" spans="1:9" ht="15.75" customHeight="1" x14ac:dyDescent="0.2">
      <c r="A873" s="164"/>
      <c r="B873" s="170"/>
      <c r="C873" s="170"/>
      <c r="D873" s="169"/>
      <c r="E873" s="172"/>
      <c r="F873" s="164"/>
      <c r="G873" s="164"/>
      <c r="H873" s="409"/>
      <c r="I873" s="164"/>
    </row>
    <row r="874" spans="1:9" ht="15.75" customHeight="1" x14ac:dyDescent="0.2">
      <c r="A874" s="164"/>
      <c r="B874" s="170"/>
      <c r="C874" s="170"/>
      <c r="D874" s="169"/>
      <c r="E874" s="172"/>
      <c r="F874" s="164"/>
      <c r="G874" s="164"/>
      <c r="H874" s="409"/>
      <c r="I874" s="164"/>
    </row>
    <row r="875" spans="1:9" ht="15.75" customHeight="1" x14ac:dyDescent="0.2">
      <c r="A875" s="164"/>
      <c r="B875" s="170"/>
      <c r="C875" s="170"/>
      <c r="D875" s="169"/>
      <c r="E875" s="172"/>
      <c r="F875" s="164"/>
      <c r="G875" s="164"/>
      <c r="H875" s="409"/>
      <c r="I875" s="164"/>
    </row>
    <row r="876" spans="1:9" ht="15.75" customHeight="1" x14ac:dyDescent="0.2">
      <c r="A876" s="164"/>
      <c r="B876" s="170"/>
      <c r="C876" s="170"/>
      <c r="D876" s="169"/>
      <c r="E876" s="172"/>
      <c r="F876" s="164"/>
      <c r="G876" s="164"/>
      <c r="H876" s="409"/>
      <c r="I876" s="164"/>
    </row>
    <row r="877" spans="1:9" ht="15.75" customHeight="1" x14ac:dyDescent="0.2">
      <c r="A877" s="164"/>
      <c r="B877" s="170"/>
      <c r="C877" s="170"/>
      <c r="D877" s="169"/>
      <c r="E877" s="172"/>
      <c r="F877" s="164"/>
      <c r="G877" s="164"/>
      <c r="H877" s="409"/>
      <c r="I877" s="164"/>
    </row>
    <row r="878" spans="1:9" ht="15.75" customHeight="1" x14ac:dyDescent="0.2">
      <c r="A878" s="164"/>
      <c r="B878" s="170"/>
      <c r="C878" s="170"/>
      <c r="D878" s="169"/>
      <c r="E878" s="172"/>
      <c r="F878" s="164"/>
      <c r="G878" s="164"/>
      <c r="H878" s="409"/>
      <c r="I878" s="164"/>
    </row>
    <row r="879" spans="1:9" ht="15.75" customHeight="1" x14ac:dyDescent="0.2">
      <c r="A879" s="164"/>
      <c r="B879" s="170"/>
      <c r="C879" s="170"/>
      <c r="D879" s="169"/>
      <c r="E879" s="172"/>
      <c r="F879" s="164"/>
      <c r="G879" s="164"/>
      <c r="H879" s="409"/>
      <c r="I879" s="164"/>
    </row>
    <row r="880" spans="1:9" ht="15.75" customHeight="1" x14ac:dyDescent="0.2">
      <c r="A880" s="164"/>
      <c r="B880" s="170"/>
      <c r="C880" s="170"/>
      <c r="D880" s="169"/>
      <c r="E880" s="172"/>
      <c r="F880" s="164"/>
      <c r="G880" s="164"/>
      <c r="H880" s="409"/>
      <c r="I880" s="164"/>
    </row>
    <row r="881" spans="1:9" ht="15.75" customHeight="1" x14ac:dyDescent="0.2">
      <c r="A881" s="164"/>
      <c r="B881" s="170"/>
      <c r="C881" s="170"/>
      <c r="D881" s="169"/>
      <c r="E881" s="172"/>
      <c r="F881" s="164"/>
      <c r="G881" s="164"/>
      <c r="H881" s="409"/>
      <c r="I881" s="164"/>
    </row>
    <row r="882" spans="1:9" ht="15.75" customHeight="1" x14ac:dyDescent="0.2">
      <c r="A882" s="164"/>
      <c r="B882" s="170"/>
      <c r="C882" s="170"/>
      <c r="D882" s="169"/>
      <c r="E882" s="172"/>
      <c r="F882" s="164"/>
      <c r="G882" s="164"/>
      <c r="H882" s="409"/>
      <c r="I882" s="164"/>
    </row>
    <row r="883" spans="1:9" ht="15.75" customHeight="1" x14ac:dyDescent="0.2">
      <c r="A883" s="164"/>
      <c r="B883" s="170"/>
      <c r="C883" s="170"/>
      <c r="D883" s="169"/>
      <c r="E883" s="172"/>
      <c r="F883" s="164"/>
      <c r="G883" s="164"/>
      <c r="H883" s="409"/>
      <c r="I883" s="164"/>
    </row>
    <row r="884" spans="1:9" ht="15.75" customHeight="1" x14ac:dyDescent="0.2">
      <c r="A884" s="164"/>
      <c r="B884" s="170"/>
      <c r="C884" s="170"/>
      <c r="D884" s="169"/>
      <c r="E884" s="172"/>
      <c r="F884" s="164"/>
      <c r="G884" s="164"/>
      <c r="H884" s="409"/>
      <c r="I884" s="164"/>
    </row>
    <row r="885" spans="1:9" ht="15.75" customHeight="1" x14ac:dyDescent="0.2">
      <c r="A885" s="164"/>
      <c r="B885" s="170"/>
      <c r="C885" s="170"/>
      <c r="D885" s="169"/>
      <c r="E885" s="172"/>
      <c r="F885" s="164"/>
      <c r="G885" s="164"/>
      <c r="H885" s="409"/>
      <c r="I885" s="164"/>
    </row>
    <row r="886" spans="1:9" ht="15.75" customHeight="1" x14ac:dyDescent="0.2">
      <c r="A886" s="164"/>
      <c r="B886" s="170"/>
      <c r="C886" s="170"/>
      <c r="D886" s="169"/>
      <c r="E886" s="172"/>
      <c r="F886" s="164"/>
      <c r="G886" s="164"/>
      <c r="H886" s="409"/>
      <c r="I886" s="164"/>
    </row>
    <row r="887" spans="1:9" ht="15.75" customHeight="1" x14ac:dyDescent="0.2">
      <c r="A887" s="164"/>
      <c r="B887" s="170"/>
      <c r="C887" s="170"/>
      <c r="D887" s="169"/>
      <c r="E887" s="172"/>
      <c r="F887" s="164"/>
      <c r="G887" s="164"/>
      <c r="H887" s="409"/>
      <c r="I887" s="164"/>
    </row>
    <row r="888" spans="1:9" ht="15.75" customHeight="1" x14ac:dyDescent="0.2">
      <c r="A888" s="164"/>
      <c r="B888" s="170"/>
      <c r="C888" s="170"/>
      <c r="D888" s="169"/>
      <c r="E888" s="172"/>
      <c r="F888" s="164"/>
      <c r="G888" s="164"/>
      <c r="H888" s="409"/>
      <c r="I888" s="164"/>
    </row>
    <row r="889" spans="1:9" ht="15.75" customHeight="1" x14ac:dyDescent="0.2">
      <c r="A889" s="164"/>
      <c r="B889" s="170"/>
      <c r="C889" s="170"/>
      <c r="D889" s="169"/>
      <c r="E889" s="172"/>
      <c r="F889" s="164"/>
      <c r="G889" s="164"/>
      <c r="H889" s="409"/>
      <c r="I889" s="164"/>
    </row>
    <row r="890" spans="1:9" ht="15.75" customHeight="1" x14ac:dyDescent="0.2">
      <c r="A890" s="164"/>
      <c r="B890" s="170"/>
      <c r="C890" s="170"/>
      <c r="D890" s="169"/>
      <c r="E890" s="172"/>
      <c r="F890" s="164"/>
      <c r="G890" s="164"/>
      <c r="H890" s="409"/>
      <c r="I890" s="164"/>
    </row>
    <row r="891" spans="1:9" ht="15.75" customHeight="1" x14ac:dyDescent="0.2">
      <c r="A891" s="164"/>
      <c r="B891" s="170"/>
      <c r="C891" s="170"/>
      <c r="D891" s="169"/>
      <c r="E891" s="172"/>
      <c r="F891" s="164"/>
      <c r="G891" s="164"/>
      <c r="H891" s="409"/>
      <c r="I891" s="164"/>
    </row>
    <row r="892" spans="1:9" ht="15.75" customHeight="1" x14ac:dyDescent="0.2">
      <c r="A892" s="164"/>
      <c r="B892" s="170"/>
      <c r="C892" s="170"/>
      <c r="D892" s="169"/>
      <c r="E892" s="172"/>
      <c r="F892" s="164"/>
      <c r="G892" s="164"/>
      <c r="H892" s="409"/>
      <c r="I892" s="164"/>
    </row>
    <row r="893" spans="1:9" ht="15.75" customHeight="1" x14ac:dyDescent="0.2">
      <c r="A893" s="164"/>
      <c r="B893" s="170"/>
      <c r="C893" s="170"/>
      <c r="D893" s="169"/>
      <c r="E893" s="172"/>
      <c r="F893" s="164"/>
      <c r="G893" s="164"/>
      <c r="H893" s="409"/>
      <c r="I893" s="164"/>
    </row>
    <row r="894" spans="1:9" ht="15.75" customHeight="1" x14ac:dyDescent="0.2">
      <c r="A894" s="164"/>
      <c r="B894" s="170"/>
      <c r="C894" s="170"/>
      <c r="D894" s="169"/>
      <c r="E894" s="172"/>
      <c r="F894" s="164"/>
      <c r="G894" s="164"/>
      <c r="H894" s="409"/>
      <c r="I894" s="164"/>
    </row>
    <row r="895" spans="1:9" ht="15.75" customHeight="1" x14ac:dyDescent="0.2">
      <c r="A895" s="164"/>
      <c r="B895" s="170"/>
      <c r="C895" s="170"/>
      <c r="D895" s="169"/>
      <c r="E895" s="172"/>
      <c r="F895" s="164"/>
      <c r="G895" s="164"/>
      <c r="H895" s="409"/>
      <c r="I895" s="164"/>
    </row>
    <row r="896" spans="1:9" ht="15.75" customHeight="1" x14ac:dyDescent="0.2">
      <c r="A896" s="164"/>
      <c r="B896" s="170"/>
      <c r="C896" s="170"/>
      <c r="D896" s="169"/>
      <c r="E896" s="172"/>
      <c r="F896" s="164"/>
      <c r="G896" s="164"/>
      <c r="H896" s="409"/>
      <c r="I896" s="164"/>
    </row>
    <row r="897" spans="1:9" ht="15.75" customHeight="1" x14ac:dyDescent="0.2">
      <c r="A897" s="164"/>
      <c r="B897" s="170"/>
      <c r="C897" s="170"/>
      <c r="D897" s="169"/>
      <c r="E897" s="172"/>
      <c r="F897" s="164"/>
      <c r="G897" s="164"/>
      <c r="H897" s="409"/>
      <c r="I897" s="164"/>
    </row>
    <row r="898" spans="1:9" ht="15.75" customHeight="1" x14ac:dyDescent="0.2">
      <c r="A898" s="164"/>
      <c r="B898" s="170"/>
      <c r="C898" s="170"/>
      <c r="D898" s="169"/>
      <c r="E898" s="172"/>
      <c r="F898" s="164"/>
      <c r="G898" s="164"/>
      <c r="H898" s="409"/>
      <c r="I898" s="164"/>
    </row>
    <row r="899" spans="1:9" ht="15.75" customHeight="1" x14ac:dyDescent="0.2">
      <c r="A899" s="164"/>
      <c r="B899" s="170"/>
      <c r="C899" s="170"/>
      <c r="D899" s="169"/>
      <c r="E899" s="172"/>
      <c r="F899" s="164"/>
      <c r="G899" s="164"/>
      <c r="H899" s="409"/>
      <c r="I899" s="164"/>
    </row>
    <row r="900" spans="1:9" ht="15.75" customHeight="1" x14ac:dyDescent="0.2">
      <c r="A900" s="164"/>
      <c r="B900" s="170"/>
      <c r="C900" s="170"/>
      <c r="D900" s="169"/>
      <c r="E900" s="172"/>
      <c r="F900" s="164"/>
      <c r="G900" s="164"/>
      <c r="H900" s="409"/>
      <c r="I900" s="164"/>
    </row>
    <row r="901" spans="1:9" ht="15.75" customHeight="1" x14ac:dyDescent="0.2">
      <c r="A901" s="164"/>
      <c r="B901" s="170"/>
      <c r="C901" s="170"/>
      <c r="D901" s="169"/>
      <c r="E901" s="172"/>
      <c r="F901" s="164"/>
      <c r="G901" s="164"/>
      <c r="H901" s="409"/>
      <c r="I901" s="164"/>
    </row>
    <row r="902" spans="1:9" ht="15.75" customHeight="1" x14ac:dyDescent="0.2">
      <c r="A902" s="164"/>
      <c r="B902" s="170"/>
      <c r="C902" s="170"/>
      <c r="D902" s="169"/>
      <c r="E902" s="172"/>
      <c r="F902" s="164"/>
      <c r="G902" s="164"/>
      <c r="H902" s="409"/>
      <c r="I902" s="164"/>
    </row>
    <row r="903" spans="1:9" ht="15.75" customHeight="1" x14ac:dyDescent="0.2">
      <c r="A903" s="164"/>
      <c r="B903" s="170"/>
      <c r="C903" s="170"/>
      <c r="D903" s="169"/>
      <c r="E903" s="172"/>
      <c r="F903" s="164"/>
      <c r="G903" s="164"/>
      <c r="H903" s="409"/>
      <c r="I903" s="164"/>
    </row>
    <row r="904" spans="1:9" ht="15.75" customHeight="1" x14ac:dyDescent="0.2">
      <c r="A904" s="164"/>
      <c r="B904" s="170"/>
      <c r="C904" s="170"/>
      <c r="D904" s="169"/>
      <c r="E904" s="172"/>
      <c r="F904" s="164"/>
      <c r="G904" s="164"/>
      <c r="H904" s="409"/>
      <c r="I904" s="164"/>
    </row>
    <row r="905" spans="1:9" ht="15.75" customHeight="1" x14ac:dyDescent="0.2">
      <c r="A905" s="164"/>
      <c r="B905" s="170"/>
      <c r="C905" s="170"/>
      <c r="D905" s="169"/>
      <c r="E905" s="172"/>
      <c r="F905" s="164"/>
      <c r="G905" s="164"/>
      <c r="H905" s="409"/>
      <c r="I905" s="164"/>
    </row>
    <row r="906" spans="1:9" ht="15.75" customHeight="1" x14ac:dyDescent="0.2">
      <c r="A906" s="164"/>
      <c r="B906" s="170"/>
      <c r="C906" s="170"/>
      <c r="D906" s="169"/>
      <c r="E906" s="172"/>
      <c r="F906" s="164"/>
      <c r="G906" s="164"/>
      <c r="H906" s="409"/>
      <c r="I906" s="164"/>
    </row>
    <row r="907" spans="1:9" ht="15.75" customHeight="1" x14ac:dyDescent="0.2">
      <c r="A907" s="164"/>
      <c r="B907" s="170"/>
      <c r="C907" s="170"/>
      <c r="D907" s="169"/>
      <c r="E907" s="172"/>
      <c r="F907" s="164"/>
      <c r="G907" s="164"/>
      <c r="H907" s="409"/>
      <c r="I907" s="164"/>
    </row>
    <row r="908" spans="1:9" ht="15.75" customHeight="1" x14ac:dyDescent="0.2">
      <c r="A908" s="164"/>
      <c r="B908" s="170"/>
      <c r="C908" s="170"/>
      <c r="D908" s="169"/>
      <c r="E908" s="172"/>
      <c r="F908" s="164"/>
      <c r="G908" s="164"/>
      <c r="H908" s="409"/>
      <c r="I908" s="164"/>
    </row>
    <row r="909" spans="1:9" ht="15.75" customHeight="1" x14ac:dyDescent="0.2">
      <c r="A909" s="164"/>
      <c r="B909" s="170"/>
      <c r="C909" s="170"/>
      <c r="D909" s="169"/>
      <c r="E909" s="172"/>
      <c r="F909" s="164"/>
      <c r="G909" s="164"/>
      <c r="H909" s="409"/>
      <c r="I909" s="164"/>
    </row>
    <row r="910" spans="1:9" ht="15.75" customHeight="1" x14ac:dyDescent="0.2">
      <c r="A910" s="164"/>
      <c r="B910" s="170"/>
      <c r="C910" s="170"/>
      <c r="D910" s="169"/>
      <c r="E910" s="172"/>
      <c r="F910" s="164"/>
      <c r="G910" s="164"/>
      <c r="H910" s="409"/>
      <c r="I910" s="164"/>
    </row>
    <row r="911" spans="1:9" ht="15.75" customHeight="1" x14ac:dyDescent="0.2">
      <c r="A911" s="164"/>
      <c r="B911" s="170"/>
      <c r="C911" s="170"/>
      <c r="D911" s="169"/>
      <c r="E911" s="172"/>
      <c r="F911" s="164"/>
      <c r="G911" s="164"/>
      <c r="H911" s="409"/>
      <c r="I911" s="164"/>
    </row>
    <row r="912" spans="1:9" ht="15.75" customHeight="1" x14ac:dyDescent="0.2">
      <c r="A912" s="164"/>
      <c r="B912" s="170"/>
      <c r="C912" s="170"/>
      <c r="D912" s="169"/>
      <c r="E912" s="172"/>
      <c r="F912" s="164"/>
      <c r="G912" s="164"/>
      <c r="H912" s="409"/>
      <c r="I912" s="164"/>
    </row>
    <row r="913" spans="1:9" ht="15.75" customHeight="1" x14ac:dyDescent="0.2">
      <c r="A913" s="164"/>
      <c r="B913" s="170"/>
      <c r="C913" s="170"/>
      <c r="D913" s="169"/>
      <c r="E913" s="172"/>
      <c r="F913" s="164"/>
      <c r="G913" s="164"/>
      <c r="H913" s="409"/>
      <c r="I913" s="164"/>
    </row>
    <row r="914" spans="1:9" ht="15.75" customHeight="1" x14ac:dyDescent="0.2">
      <c r="A914" s="164"/>
      <c r="B914" s="170"/>
      <c r="C914" s="170"/>
      <c r="D914" s="169"/>
      <c r="E914" s="172"/>
      <c r="F914" s="164"/>
      <c r="G914" s="164"/>
      <c r="H914" s="409"/>
      <c r="I914" s="164"/>
    </row>
    <row r="915" spans="1:9" ht="15.75" customHeight="1" x14ac:dyDescent="0.2">
      <c r="A915" s="164"/>
      <c r="B915" s="170"/>
      <c r="C915" s="170"/>
      <c r="D915" s="169"/>
      <c r="E915" s="172"/>
      <c r="F915" s="164"/>
      <c r="G915" s="164"/>
      <c r="H915" s="409"/>
      <c r="I915" s="164"/>
    </row>
    <row r="916" spans="1:9" ht="15.75" customHeight="1" x14ac:dyDescent="0.2">
      <c r="A916" s="164"/>
      <c r="B916" s="170"/>
      <c r="C916" s="170"/>
      <c r="D916" s="169"/>
      <c r="E916" s="172"/>
      <c r="F916" s="164"/>
      <c r="G916" s="164"/>
      <c r="H916" s="409"/>
      <c r="I916" s="164"/>
    </row>
    <row r="917" spans="1:9" ht="15.75" customHeight="1" x14ac:dyDescent="0.2">
      <c r="A917" s="164"/>
      <c r="B917" s="170"/>
      <c r="C917" s="170"/>
      <c r="D917" s="169"/>
      <c r="E917" s="172"/>
      <c r="F917" s="164"/>
      <c r="G917" s="164"/>
      <c r="H917" s="409"/>
      <c r="I917" s="164"/>
    </row>
    <row r="918" spans="1:9" ht="15.75" customHeight="1" x14ac:dyDescent="0.2">
      <c r="A918" s="164"/>
      <c r="B918" s="170"/>
      <c r="C918" s="170"/>
      <c r="D918" s="169"/>
      <c r="E918" s="172"/>
      <c r="F918" s="164"/>
      <c r="G918" s="164"/>
      <c r="H918" s="409"/>
      <c r="I918" s="164"/>
    </row>
    <row r="919" spans="1:9" ht="15.75" customHeight="1" x14ac:dyDescent="0.2">
      <c r="A919" s="164"/>
      <c r="B919" s="170"/>
      <c r="C919" s="170"/>
      <c r="D919" s="169"/>
      <c r="E919" s="172"/>
      <c r="F919" s="164"/>
      <c r="G919" s="164"/>
      <c r="H919" s="409"/>
      <c r="I919" s="164"/>
    </row>
    <row r="920" spans="1:9" ht="15.75" customHeight="1" x14ac:dyDescent="0.2">
      <c r="A920" s="164"/>
      <c r="B920" s="170"/>
      <c r="C920" s="170"/>
      <c r="D920" s="169"/>
      <c r="E920" s="172"/>
      <c r="F920" s="164"/>
      <c r="G920" s="164"/>
      <c r="H920" s="409"/>
      <c r="I920" s="164"/>
    </row>
    <row r="921" spans="1:9" ht="15.75" customHeight="1" x14ac:dyDescent="0.2">
      <c r="A921" s="164"/>
      <c r="B921" s="170"/>
      <c r="C921" s="170"/>
      <c r="D921" s="169"/>
      <c r="E921" s="172"/>
      <c r="F921" s="164"/>
      <c r="G921" s="164"/>
      <c r="H921" s="409"/>
      <c r="I921" s="164"/>
    </row>
    <row r="922" spans="1:9" ht="15.75" customHeight="1" x14ac:dyDescent="0.2">
      <c r="A922" s="164"/>
      <c r="B922" s="170"/>
      <c r="C922" s="170"/>
      <c r="D922" s="169"/>
      <c r="E922" s="172"/>
      <c r="F922" s="164"/>
      <c r="G922" s="164"/>
      <c r="H922" s="409"/>
      <c r="I922" s="164"/>
    </row>
    <row r="923" spans="1:9" ht="15.75" customHeight="1" x14ac:dyDescent="0.2">
      <c r="A923" s="164"/>
      <c r="B923" s="170"/>
      <c r="C923" s="170"/>
      <c r="D923" s="169"/>
      <c r="E923" s="172"/>
      <c r="F923" s="164"/>
      <c r="G923" s="164"/>
      <c r="H923" s="409"/>
      <c r="I923" s="164"/>
    </row>
    <row r="924" spans="1:9" ht="15.75" customHeight="1" x14ac:dyDescent="0.2">
      <c r="A924" s="164"/>
      <c r="B924" s="170"/>
      <c r="C924" s="170"/>
      <c r="D924" s="169"/>
      <c r="E924" s="172"/>
      <c r="F924" s="164"/>
      <c r="G924" s="164"/>
      <c r="H924" s="409"/>
      <c r="I924" s="164"/>
    </row>
    <row r="925" spans="1:9" ht="15.75" customHeight="1" x14ac:dyDescent="0.2">
      <c r="A925" s="164"/>
      <c r="B925" s="170"/>
      <c r="C925" s="170"/>
      <c r="D925" s="169"/>
      <c r="E925" s="172"/>
      <c r="F925" s="164"/>
      <c r="G925" s="164"/>
      <c r="H925" s="409"/>
      <c r="I925" s="164"/>
    </row>
    <row r="926" spans="1:9" ht="15.75" customHeight="1" x14ac:dyDescent="0.2">
      <c r="A926" s="164"/>
      <c r="B926" s="170"/>
      <c r="C926" s="170"/>
      <c r="D926" s="169"/>
      <c r="E926" s="172"/>
      <c r="F926" s="164"/>
      <c r="G926" s="164"/>
      <c r="H926" s="409"/>
      <c r="I926" s="164"/>
    </row>
    <row r="927" spans="1:9" ht="15.75" customHeight="1" x14ac:dyDescent="0.2">
      <c r="A927" s="164"/>
      <c r="B927" s="170"/>
      <c r="C927" s="170"/>
      <c r="D927" s="169"/>
      <c r="E927" s="172"/>
      <c r="F927" s="164"/>
      <c r="G927" s="164"/>
      <c r="H927" s="409"/>
      <c r="I927" s="164"/>
    </row>
    <row r="928" spans="1:9" ht="15.75" customHeight="1" x14ac:dyDescent="0.2">
      <c r="A928" s="164"/>
      <c r="B928" s="170"/>
      <c r="C928" s="170"/>
      <c r="D928" s="169"/>
      <c r="E928" s="172"/>
      <c r="F928" s="164"/>
      <c r="G928" s="164"/>
      <c r="H928" s="409"/>
      <c r="I928" s="164"/>
    </row>
    <row r="929" spans="1:9" ht="15.75" customHeight="1" x14ac:dyDescent="0.2">
      <c r="A929" s="164"/>
      <c r="B929" s="170"/>
      <c r="C929" s="170"/>
      <c r="D929" s="169"/>
      <c r="E929" s="172"/>
      <c r="F929" s="164"/>
      <c r="G929" s="164"/>
      <c r="H929" s="409"/>
      <c r="I929" s="164"/>
    </row>
    <row r="930" spans="1:9" ht="15.75" customHeight="1" x14ac:dyDescent="0.2">
      <c r="A930" s="164"/>
      <c r="B930" s="170"/>
      <c r="C930" s="170"/>
      <c r="D930" s="169"/>
      <c r="E930" s="172"/>
      <c r="F930" s="164"/>
      <c r="G930" s="164"/>
      <c r="H930" s="409"/>
      <c r="I930" s="164"/>
    </row>
    <row r="931" spans="1:9" ht="15.75" customHeight="1" x14ac:dyDescent="0.2">
      <c r="A931" s="164"/>
      <c r="B931" s="170"/>
      <c r="C931" s="170"/>
      <c r="D931" s="169"/>
      <c r="E931" s="172"/>
      <c r="F931" s="164"/>
      <c r="G931" s="164"/>
      <c r="H931" s="409"/>
      <c r="I931" s="164"/>
    </row>
    <row r="932" spans="1:9" ht="15.75" customHeight="1" x14ac:dyDescent="0.2">
      <c r="A932" s="164"/>
      <c r="B932" s="170"/>
      <c r="C932" s="170"/>
      <c r="D932" s="169"/>
      <c r="E932" s="172"/>
      <c r="F932" s="164"/>
      <c r="G932" s="164"/>
      <c r="H932" s="409"/>
      <c r="I932" s="164"/>
    </row>
    <row r="933" spans="1:9" ht="15.75" customHeight="1" x14ac:dyDescent="0.2">
      <c r="A933" s="164"/>
      <c r="B933" s="170"/>
      <c r="C933" s="170"/>
      <c r="D933" s="169"/>
      <c r="E933" s="172"/>
      <c r="F933" s="164"/>
      <c r="G933" s="164"/>
      <c r="H933" s="409"/>
      <c r="I933" s="164"/>
    </row>
    <row r="934" spans="1:9" ht="15.75" customHeight="1" x14ac:dyDescent="0.2">
      <c r="A934" s="164"/>
      <c r="B934" s="170"/>
      <c r="C934" s="170"/>
      <c r="D934" s="169"/>
      <c r="E934" s="172"/>
      <c r="F934" s="164"/>
      <c r="G934" s="164"/>
      <c r="H934" s="409"/>
      <c r="I934" s="164"/>
    </row>
    <row r="935" spans="1:9" ht="15.75" customHeight="1" x14ac:dyDescent="0.2">
      <c r="A935" s="164"/>
      <c r="B935" s="170"/>
      <c r="C935" s="170"/>
      <c r="D935" s="169"/>
      <c r="E935" s="172"/>
      <c r="F935" s="164"/>
      <c r="G935" s="164"/>
      <c r="H935" s="409"/>
      <c r="I935" s="164"/>
    </row>
    <row r="936" spans="1:9" ht="15.75" customHeight="1" x14ac:dyDescent="0.2">
      <c r="A936" s="164"/>
      <c r="B936" s="170"/>
      <c r="C936" s="170"/>
      <c r="D936" s="169"/>
      <c r="E936" s="172"/>
      <c r="F936" s="164"/>
      <c r="G936" s="164"/>
      <c r="H936" s="409"/>
      <c r="I936" s="164"/>
    </row>
    <row r="937" spans="1:9" ht="15.75" customHeight="1" x14ac:dyDescent="0.2">
      <c r="A937" s="164"/>
      <c r="B937" s="170"/>
      <c r="C937" s="170"/>
      <c r="D937" s="169"/>
      <c r="E937" s="172"/>
      <c r="F937" s="164"/>
      <c r="G937" s="164"/>
      <c r="H937" s="409"/>
      <c r="I937" s="164"/>
    </row>
    <row r="938" spans="1:9" ht="15.75" customHeight="1" x14ac:dyDescent="0.2">
      <c r="A938" s="164"/>
      <c r="B938" s="170"/>
      <c r="C938" s="170"/>
      <c r="D938" s="169"/>
      <c r="E938" s="172"/>
      <c r="F938" s="164"/>
      <c r="G938" s="164"/>
      <c r="H938" s="409"/>
      <c r="I938" s="164"/>
    </row>
    <row r="939" spans="1:9" ht="15.75" customHeight="1" x14ac:dyDescent="0.2">
      <c r="A939" s="164"/>
      <c r="B939" s="170"/>
      <c r="C939" s="170"/>
      <c r="D939" s="169"/>
      <c r="E939" s="172"/>
      <c r="F939" s="164"/>
      <c r="G939" s="164"/>
      <c r="H939" s="409"/>
      <c r="I939" s="164"/>
    </row>
    <row r="940" spans="1:9" ht="15.75" customHeight="1" x14ac:dyDescent="0.2">
      <c r="A940" s="164"/>
      <c r="B940" s="170"/>
      <c r="C940" s="170"/>
      <c r="D940" s="169"/>
      <c r="E940" s="172"/>
      <c r="F940" s="164"/>
      <c r="G940" s="164"/>
      <c r="H940" s="409"/>
      <c r="I940" s="164"/>
    </row>
    <row r="941" spans="1:9" ht="15.75" customHeight="1" x14ac:dyDescent="0.2">
      <c r="A941" s="164"/>
      <c r="B941" s="170"/>
      <c r="C941" s="170"/>
      <c r="D941" s="169"/>
      <c r="E941" s="172"/>
      <c r="F941" s="164"/>
      <c r="G941" s="164"/>
      <c r="H941" s="409"/>
      <c r="I941" s="164"/>
    </row>
    <row r="942" spans="1:9" ht="15.75" customHeight="1" x14ac:dyDescent="0.2">
      <c r="A942" s="164"/>
      <c r="B942" s="170"/>
      <c r="C942" s="170"/>
      <c r="D942" s="169"/>
      <c r="E942" s="172"/>
      <c r="F942" s="164"/>
      <c r="G942" s="164"/>
      <c r="H942" s="409"/>
      <c r="I942" s="164"/>
    </row>
    <row r="943" spans="1:9" ht="15.75" customHeight="1" x14ac:dyDescent="0.2">
      <c r="A943" s="164"/>
      <c r="B943" s="170"/>
      <c r="C943" s="170"/>
      <c r="D943" s="169"/>
      <c r="E943" s="172"/>
      <c r="F943" s="164"/>
      <c r="G943" s="164"/>
      <c r="H943" s="409"/>
      <c r="I943" s="164"/>
    </row>
    <row r="944" spans="1:9" ht="15.75" customHeight="1" x14ac:dyDescent="0.2">
      <c r="A944" s="164"/>
      <c r="B944" s="170"/>
      <c r="C944" s="170"/>
      <c r="D944" s="169"/>
      <c r="E944" s="172"/>
      <c r="F944" s="164"/>
      <c r="G944" s="164"/>
      <c r="H944" s="409"/>
      <c r="I944" s="164"/>
    </row>
    <row r="945" spans="1:9" ht="15.75" customHeight="1" x14ac:dyDescent="0.2">
      <c r="A945" s="164"/>
      <c r="B945" s="170"/>
      <c r="C945" s="170"/>
      <c r="D945" s="169"/>
      <c r="E945" s="172"/>
      <c r="F945" s="164"/>
      <c r="G945" s="164"/>
      <c r="H945" s="409"/>
      <c r="I945" s="164"/>
    </row>
    <row r="946" spans="1:9" ht="15.75" customHeight="1" x14ac:dyDescent="0.2">
      <c r="A946" s="164"/>
      <c r="B946" s="170"/>
      <c r="C946" s="170"/>
      <c r="D946" s="169"/>
      <c r="E946" s="172"/>
      <c r="F946" s="164"/>
      <c r="G946" s="164"/>
      <c r="H946" s="409"/>
      <c r="I946" s="164"/>
    </row>
    <row r="947" spans="1:9" ht="15.75" customHeight="1" x14ac:dyDescent="0.2">
      <c r="A947" s="164"/>
      <c r="B947" s="170"/>
      <c r="C947" s="170"/>
      <c r="D947" s="169"/>
      <c r="E947" s="172"/>
      <c r="F947" s="164"/>
      <c r="G947" s="164"/>
      <c r="H947" s="409"/>
      <c r="I947" s="164"/>
    </row>
    <row r="948" spans="1:9" ht="15.75" customHeight="1" x14ac:dyDescent="0.2">
      <c r="A948" s="164"/>
      <c r="B948" s="170"/>
      <c r="C948" s="170"/>
      <c r="D948" s="169"/>
      <c r="E948" s="172"/>
      <c r="F948" s="164"/>
      <c r="G948" s="164"/>
      <c r="H948" s="409"/>
      <c r="I948" s="164"/>
    </row>
    <row r="949" spans="1:9" ht="15.75" customHeight="1" x14ac:dyDescent="0.2">
      <c r="A949" s="164"/>
      <c r="B949" s="170"/>
      <c r="C949" s="170"/>
      <c r="D949" s="169"/>
      <c r="E949" s="172"/>
      <c r="F949" s="164"/>
      <c r="G949" s="164"/>
      <c r="H949" s="409"/>
      <c r="I949" s="164"/>
    </row>
    <row r="950" spans="1:9" ht="15.75" customHeight="1" x14ac:dyDescent="0.2">
      <c r="A950" s="164"/>
      <c r="B950" s="170"/>
      <c r="C950" s="170"/>
      <c r="D950" s="169"/>
      <c r="E950" s="172"/>
      <c r="F950" s="164"/>
      <c r="G950" s="164"/>
      <c r="H950" s="409"/>
      <c r="I950" s="164"/>
    </row>
    <row r="951" spans="1:9" ht="15.75" customHeight="1" x14ac:dyDescent="0.2">
      <c r="A951" s="164"/>
      <c r="B951" s="170"/>
      <c r="C951" s="170"/>
      <c r="D951" s="169"/>
      <c r="E951" s="172"/>
      <c r="F951" s="164"/>
      <c r="G951" s="164"/>
      <c r="H951" s="409"/>
      <c r="I951" s="164"/>
    </row>
    <row r="952" spans="1:9" ht="15.75" customHeight="1" x14ac:dyDescent="0.2">
      <c r="A952" s="164"/>
      <c r="B952" s="170"/>
      <c r="C952" s="170"/>
      <c r="D952" s="169"/>
      <c r="E952" s="172"/>
      <c r="F952" s="164"/>
      <c r="G952" s="164"/>
      <c r="H952" s="409"/>
      <c r="I952" s="164"/>
    </row>
    <row r="953" spans="1:9" ht="15.75" customHeight="1" x14ac:dyDescent="0.2">
      <c r="A953" s="164"/>
      <c r="B953" s="170"/>
      <c r="C953" s="170"/>
      <c r="D953" s="169"/>
      <c r="E953" s="172"/>
      <c r="F953" s="164"/>
      <c r="G953" s="164"/>
      <c r="H953" s="409"/>
      <c r="I953" s="164"/>
    </row>
    <row r="954" spans="1:9" ht="15.75" customHeight="1" x14ac:dyDescent="0.2">
      <c r="A954" s="164"/>
      <c r="B954" s="170"/>
      <c r="C954" s="170"/>
      <c r="D954" s="169"/>
      <c r="E954" s="172"/>
      <c r="F954" s="164"/>
      <c r="G954" s="164"/>
      <c r="H954" s="409"/>
      <c r="I954" s="164"/>
    </row>
    <row r="955" spans="1:9" ht="15.75" customHeight="1" x14ac:dyDescent="0.2">
      <c r="A955" s="164"/>
      <c r="B955" s="170"/>
      <c r="C955" s="170"/>
      <c r="D955" s="169"/>
      <c r="E955" s="172"/>
      <c r="F955" s="164"/>
      <c r="G955" s="164"/>
      <c r="H955" s="409"/>
      <c r="I955" s="164"/>
    </row>
    <row r="956" spans="1:9" ht="15.75" customHeight="1" x14ac:dyDescent="0.2">
      <c r="A956" s="164"/>
      <c r="B956" s="170"/>
      <c r="C956" s="170"/>
      <c r="D956" s="169"/>
      <c r="E956" s="172"/>
      <c r="F956" s="164"/>
      <c r="G956" s="164"/>
      <c r="H956" s="409"/>
      <c r="I956" s="164"/>
    </row>
    <row r="957" spans="1:9" ht="15.75" customHeight="1" x14ac:dyDescent="0.2">
      <c r="A957" s="164"/>
      <c r="B957" s="170"/>
      <c r="C957" s="170"/>
      <c r="D957" s="169"/>
      <c r="E957" s="172"/>
      <c r="F957" s="164"/>
      <c r="G957" s="164"/>
      <c r="H957" s="409"/>
      <c r="I957" s="164"/>
    </row>
    <row r="958" spans="1:9" ht="15.75" customHeight="1" x14ac:dyDescent="0.2">
      <c r="A958" s="164"/>
      <c r="B958" s="170"/>
      <c r="C958" s="170"/>
      <c r="D958" s="169"/>
      <c r="E958" s="172"/>
      <c r="F958" s="164"/>
      <c r="G958" s="164"/>
      <c r="H958" s="409"/>
      <c r="I958" s="164"/>
    </row>
    <row r="959" spans="1:9" ht="15.75" customHeight="1" x14ac:dyDescent="0.2">
      <c r="A959" s="164"/>
      <c r="B959" s="170"/>
      <c r="C959" s="170"/>
      <c r="D959" s="169"/>
      <c r="E959" s="172"/>
      <c r="F959" s="164"/>
      <c r="G959" s="164"/>
      <c r="H959" s="409"/>
      <c r="I959" s="164"/>
    </row>
    <row r="960" spans="1:9" ht="15.75" customHeight="1" x14ac:dyDescent="0.2">
      <c r="A960" s="164"/>
      <c r="B960" s="170"/>
      <c r="C960" s="170"/>
      <c r="D960" s="169"/>
      <c r="E960" s="172"/>
      <c r="F960" s="164"/>
      <c r="G960" s="164"/>
      <c r="H960" s="409"/>
      <c r="I960" s="164"/>
    </row>
    <row r="961" spans="1:9" ht="15.75" customHeight="1" x14ac:dyDescent="0.2">
      <c r="A961" s="164"/>
      <c r="B961" s="170"/>
      <c r="C961" s="170"/>
      <c r="D961" s="169"/>
      <c r="E961" s="172"/>
      <c r="F961" s="164"/>
      <c r="G961" s="164"/>
      <c r="H961" s="409"/>
      <c r="I961" s="164"/>
    </row>
    <row r="962" spans="1:9" ht="15.75" customHeight="1" x14ac:dyDescent="0.2">
      <c r="A962" s="164"/>
      <c r="B962" s="170"/>
      <c r="C962" s="170"/>
      <c r="D962" s="169"/>
      <c r="E962" s="172"/>
      <c r="F962" s="164"/>
      <c r="G962" s="164"/>
      <c r="H962" s="409"/>
      <c r="I962" s="164"/>
    </row>
    <row r="963" spans="1:9" ht="15.75" customHeight="1" x14ac:dyDescent="0.2">
      <c r="A963" s="164"/>
      <c r="B963" s="170"/>
      <c r="C963" s="170"/>
      <c r="D963" s="169"/>
      <c r="E963" s="172"/>
      <c r="F963" s="164"/>
      <c r="G963" s="164"/>
      <c r="H963" s="409"/>
      <c r="I963" s="164"/>
    </row>
    <row r="964" spans="1:9" ht="15.75" customHeight="1" x14ac:dyDescent="0.2">
      <c r="A964" s="164"/>
      <c r="B964" s="170"/>
      <c r="C964" s="170"/>
      <c r="D964" s="169"/>
      <c r="E964" s="172"/>
      <c r="F964" s="164"/>
      <c r="G964" s="164"/>
      <c r="H964" s="409"/>
      <c r="I964" s="164"/>
    </row>
    <row r="965" spans="1:9" ht="15.75" customHeight="1" x14ac:dyDescent="0.2">
      <c r="A965" s="164"/>
      <c r="B965" s="170"/>
      <c r="C965" s="170"/>
      <c r="D965" s="169"/>
      <c r="E965" s="172"/>
      <c r="F965" s="164"/>
      <c r="G965" s="164"/>
      <c r="H965" s="409"/>
      <c r="I965" s="164"/>
    </row>
    <row r="966" spans="1:9" ht="15.75" customHeight="1" x14ac:dyDescent="0.2">
      <c r="A966" s="164"/>
      <c r="B966" s="170"/>
      <c r="C966" s="170"/>
      <c r="D966" s="169"/>
      <c r="E966" s="172"/>
      <c r="F966" s="164"/>
      <c r="G966" s="164"/>
      <c r="H966" s="409"/>
      <c r="I966" s="164"/>
    </row>
    <row r="967" spans="1:9" ht="15.75" customHeight="1" x14ac:dyDescent="0.2">
      <c r="A967" s="164"/>
      <c r="B967" s="170"/>
      <c r="C967" s="170"/>
      <c r="D967" s="169"/>
      <c r="E967" s="172"/>
      <c r="F967" s="164"/>
      <c r="G967" s="164"/>
      <c r="H967" s="409"/>
      <c r="I967" s="164"/>
    </row>
    <row r="968" spans="1:9" ht="15.75" customHeight="1" x14ac:dyDescent="0.2">
      <c r="A968" s="164"/>
      <c r="B968" s="170"/>
      <c r="C968" s="170"/>
      <c r="D968" s="169"/>
      <c r="E968" s="172"/>
      <c r="F968" s="164"/>
      <c r="G968" s="164"/>
      <c r="H968" s="409"/>
      <c r="I968" s="164"/>
    </row>
    <row r="969" spans="1:9" ht="15.75" customHeight="1" x14ac:dyDescent="0.2">
      <c r="A969" s="164"/>
      <c r="B969" s="170"/>
      <c r="C969" s="170"/>
      <c r="D969" s="169"/>
      <c r="E969" s="172"/>
      <c r="F969" s="164"/>
      <c r="G969" s="164"/>
      <c r="H969" s="409"/>
      <c r="I969" s="164"/>
    </row>
    <row r="970" spans="1:9" ht="15.75" customHeight="1" x14ac:dyDescent="0.2">
      <c r="A970" s="164"/>
      <c r="B970" s="170"/>
      <c r="C970" s="170"/>
      <c r="D970" s="169"/>
      <c r="E970" s="172"/>
      <c r="F970" s="164"/>
      <c r="G970" s="164"/>
      <c r="H970" s="409"/>
      <c r="I970" s="164"/>
    </row>
    <row r="971" spans="1:9" ht="15.75" customHeight="1" x14ac:dyDescent="0.2">
      <c r="A971" s="164"/>
      <c r="B971" s="170"/>
      <c r="C971" s="170"/>
      <c r="D971" s="169"/>
      <c r="E971" s="172"/>
      <c r="F971" s="164"/>
      <c r="G971" s="164"/>
      <c r="H971" s="409"/>
      <c r="I971" s="164"/>
    </row>
    <row r="972" spans="1:9" ht="15.75" customHeight="1" x14ac:dyDescent="0.2">
      <c r="A972" s="164"/>
      <c r="B972" s="170"/>
      <c r="C972" s="170"/>
      <c r="D972" s="169"/>
      <c r="E972" s="172"/>
      <c r="F972" s="164"/>
      <c r="G972" s="164"/>
      <c r="H972" s="409"/>
      <c r="I972" s="164"/>
    </row>
    <row r="973" spans="1:9" ht="15.75" customHeight="1" x14ac:dyDescent="0.2">
      <c r="A973" s="164"/>
      <c r="B973" s="170"/>
      <c r="C973" s="170"/>
      <c r="D973" s="169"/>
      <c r="E973" s="172"/>
      <c r="F973" s="164"/>
      <c r="G973" s="164"/>
      <c r="H973" s="409"/>
      <c r="I973" s="164"/>
    </row>
    <row r="974" spans="1:9" ht="15.75" customHeight="1" x14ac:dyDescent="0.2">
      <c r="A974" s="164"/>
      <c r="B974" s="170"/>
      <c r="C974" s="170"/>
      <c r="D974" s="169"/>
      <c r="E974" s="172"/>
      <c r="F974" s="164"/>
      <c r="G974" s="164"/>
      <c r="H974" s="409"/>
      <c r="I974" s="164"/>
    </row>
    <row r="975" spans="1:9" ht="15.75" customHeight="1" x14ac:dyDescent="0.2">
      <c r="A975" s="164"/>
      <c r="B975" s="170"/>
      <c r="C975" s="170"/>
      <c r="D975" s="169"/>
      <c r="E975" s="172"/>
      <c r="F975" s="164"/>
      <c r="G975" s="164"/>
      <c r="H975" s="409"/>
      <c r="I975" s="164"/>
    </row>
    <row r="976" spans="1:9" ht="15.75" customHeight="1" x14ac:dyDescent="0.2">
      <c r="A976" s="164"/>
      <c r="B976" s="170"/>
      <c r="C976" s="170"/>
      <c r="D976" s="169"/>
      <c r="E976" s="172"/>
      <c r="F976" s="164"/>
      <c r="G976" s="164"/>
      <c r="H976" s="409"/>
      <c r="I976" s="164"/>
    </row>
    <row r="977" spans="1:9" ht="15.75" customHeight="1" x14ac:dyDescent="0.2">
      <c r="A977" s="164"/>
      <c r="B977" s="170"/>
      <c r="C977" s="170"/>
      <c r="D977" s="169"/>
      <c r="E977" s="172"/>
      <c r="F977" s="164"/>
      <c r="G977" s="164"/>
      <c r="H977" s="409"/>
      <c r="I977" s="164"/>
    </row>
    <row r="978" spans="1:9" ht="15.75" customHeight="1" x14ac:dyDescent="0.2">
      <c r="A978" s="164"/>
      <c r="B978" s="170"/>
      <c r="C978" s="170"/>
      <c r="D978" s="169"/>
      <c r="E978" s="172"/>
      <c r="F978" s="164"/>
      <c r="G978" s="164"/>
      <c r="H978" s="409"/>
      <c r="I978" s="164"/>
    </row>
    <row r="979" spans="1:9" ht="15.75" customHeight="1" x14ac:dyDescent="0.2">
      <c r="A979" s="164"/>
      <c r="B979" s="170"/>
      <c r="C979" s="170"/>
      <c r="D979" s="169"/>
      <c r="E979" s="172"/>
      <c r="F979" s="164"/>
      <c r="G979" s="164"/>
      <c r="H979" s="409"/>
      <c r="I979" s="164"/>
    </row>
    <row r="980" spans="1:9" ht="15.75" customHeight="1" x14ac:dyDescent="0.2">
      <c r="A980" s="164"/>
      <c r="B980" s="170"/>
      <c r="C980" s="170"/>
      <c r="D980" s="169"/>
      <c r="E980" s="172"/>
      <c r="F980" s="164"/>
      <c r="G980" s="164"/>
      <c r="H980" s="409"/>
      <c r="I980" s="164"/>
    </row>
    <row r="981" spans="1:9" ht="15.75" customHeight="1" x14ac:dyDescent="0.2">
      <c r="A981" s="164"/>
      <c r="B981" s="170"/>
      <c r="C981" s="170"/>
      <c r="D981" s="169"/>
      <c r="E981" s="172"/>
      <c r="F981" s="164"/>
      <c r="G981" s="164"/>
      <c r="H981" s="409"/>
      <c r="I981" s="164"/>
    </row>
    <row r="982" spans="1:9" ht="15.75" customHeight="1" x14ac:dyDescent="0.2">
      <c r="A982" s="164"/>
      <c r="B982" s="170"/>
      <c r="C982" s="170"/>
      <c r="D982" s="169"/>
      <c r="E982" s="172"/>
      <c r="F982" s="164"/>
      <c r="G982" s="164"/>
      <c r="H982" s="409"/>
      <c r="I982" s="164"/>
    </row>
    <row r="983" spans="1:9" ht="15.75" customHeight="1" x14ac:dyDescent="0.2">
      <c r="A983" s="164"/>
      <c r="B983" s="170"/>
      <c r="C983" s="170"/>
      <c r="D983" s="169"/>
      <c r="E983" s="172"/>
      <c r="F983" s="164"/>
      <c r="G983" s="164"/>
      <c r="H983" s="409"/>
      <c r="I983" s="164"/>
    </row>
    <row r="984" spans="1:9" ht="15.75" customHeight="1" x14ac:dyDescent="0.2">
      <c r="A984" s="164"/>
      <c r="B984" s="170"/>
      <c r="C984" s="170"/>
      <c r="D984" s="169"/>
      <c r="E984" s="172"/>
      <c r="F984" s="164"/>
      <c r="G984" s="164"/>
      <c r="H984" s="409"/>
      <c r="I984" s="164"/>
    </row>
    <row r="985" spans="1:9" ht="15.75" customHeight="1" x14ac:dyDescent="0.2">
      <c r="A985" s="164"/>
      <c r="B985" s="170"/>
      <c r="C985" s="170"/>
      <c r="D985" s="169"/>
      <c r="E985" s="172"/>
      <c r="F985" s="164"/>
      <c r="G985" s="164"/>
      <c r="H985" s="409"/>
      <c r="I985" s="164"/>
    </row>
    <row r="986" spans="1:9" ht="15.75" customHeight="1" x14ac:dyDescent="0.2">
      <c r="A986" s="164"/>
      <c r="B986" s="170"/>
      <c r="C986" s="170"/>
      <c r="D986" s="169"/>
      <c r="E986" s="172"/>
      <c r="F986" s="164"/>
      <c r="G986" s="164"/>
      <c r="H986" s="409"/>
      <c r="I986" s="164"/>
    </row>
    <row r="987" spans="1:9" ht="15.75" customHeight="1" x14ac:dyDescent="0.2">
      <c r="A987" s="164"/>
      <c r="B987" s="170"/>
      <c r="C987" s="170"/>
      <c r="D987" s="169"/>
      <c r="E987" s="172"/>
      <c r="F987" s="164"/>
      <c r="G987" s="164"/>
      <c r="H987" s="409"/>
      <c r="I987" s="164"/>
    </row>
    <row r="988" spans="1:9" ht="15.75" customHeight="1" x14ac:dyDescent="0.2">
      <c r="A988" s="164"/>
      <c r="B988" s="170"/>
      <c r="C988" s="170"/>
      <c r="D988" s="169"/>
      <c r="E988" s="172"/>
      <c r="F988" s="164"/>
      <c r="G988" s="164"/>
      <c r="H988" s="409"/>
      <c r="I988" s="164"/>
    </row>
    <row r="989" spans="1:9" ht="15.75" customHeight="1" x14ac:dyDescent="0.2">
      <c r="A989" s="164"/>
      <c r="B989" s="170"/>
      <c r="C989" s="170"/>
      <c r="D989" s="169"/>
      <c r="E989" s="172"/>
      <c r="F989" s="164"/>
      <c r="G989" s="164"/>
      <c r="H989" s="409"/>
      <c r="I989" s="164"/>
    </row>
    <row r="990" spans="1:9" ht="15.75" customHeight="1" x14ac:dyDescent="0.2">
      <c r="A990" s="164"/>
      <c r="B990" s="170"/>
      <c r="C990" s="170"/>
      <c r="D990" s="169"/>
      <c r="E990" s="172"/>
      <c r="F990" s="164"/>
      <c r="G990" s="164"/>
      <c r="H990" s="409"/>
      <c r="I990" s="164"/>
    </row>
    <row r="991" spans="1:9" ht="15.75" customHeight="1" x14ac:dyDescent="0.2">
      <c r="A991" s="164"/>
      <c r="B991" s="170"/>
      <c r="C991" s="170"/>
      <c r="D991" s="169"/>
      <c r="E991" s="172"/>
      <c r="F991" s="164"/>
      <c r="G991" s="164"/>
      <c r="H991" s="409"/>
      <c r="I991" s="164"/>
    </row>
    <row r="992" spans="1:9" ht="15.75" customHeight="1" x14ac:dyDescent="0.2">
      <c r="A992" s="164"/>
      <c r="B992" s="170"/>
      <c r="C992" s="170"/>
      <c r="D992" s="169"/>
      <c r="E992" s="172"/>
      <c r="F992" s="164"/>
      <c r="G992" s="164"/>
      <c r="H992" s="409"/>
      <c r="I992" s="164"/>
    </row>
    <row r="993" spans="1:9" ht="15.75" customHeight="1" x14ac:dyDescent="0.2">
      <c r="A993" s="164"/>
      <c r="B993" s="170"/>
      <c r="C993" s="170"/>
      <c r="D993" s="169"/>
      <c r="E993" s="172"/>
      <c r="F993" s="164"/>
      <c r="G993" s="164"/>
      <c r="H993" s="409"/>
      <c r="I993" s="164"/>
    </row>
    <row r="994" spans="1:9" ht="15.75" customHeight="1" x14ac:dyDescent="0.2">
      <c r="A994" s="164"/>
      <c r="B994" s="170"/>
      <c r="C994" s="170"/>
      <c r="D994" s="169"/>
      <c r="E994" s="172"/>
      <c r="F994" s="164"/>
      <c r="G994" s="164"/>
      <c r="H994" s="409"/>
      <c r="I994" s="164"/>
    </row>
    <row r="995" spans="1:9" ht="15.75" customHeight="1" x14ac:dyDescent="0.2">
      <c r="A995" s="164"/>
      <c r="B995" s="170"/>
      <c r="C995" s="170"/>
      <c r="D995" s="169"/>
      <c r="E995" s="172"/>
      <c r="F995" s="164"/>
      <c r="G995" s="164"/>
      <c r="H995" s="409"/>
      <c r="I995" s="164"/>
    </row>
    <row r="996" spans="1:9" ht="15.75" customHeight="1" x14ac:dyDescent="0.2">
      <c r="A996" s="164"/>
      <c r="B996" s="170"/>
      <c r="C996" s="170"/>
      <c r="D996" s="169"/>
      <c r="E996" s="172"/>
      <c r="F996" s="164"/>
      <c r="G996" s="164"/>
      <c r="H996" s="409"/>
      <c r="I996" s="164"/>
    </row>
    <row r="997" spans="1:9" ht="15.75" customHeight="1" x14ac:dyDescent="0.2">
      <c r="A997" s="164"/>
      <c r="B997" s="170"/>
      <c r="C997" s="170"/>
      <c r="D997" s="169"/>
      <c r="E997" s="172"/>
      <c r="F997" s="164"/>
      <c r="G997" s="164"/>
      <c r="H997" s="409"/>
      <c r="I997" s="164"/>
    </row>
    <row r="998" spans="1:9" ht="15.75" customHeight="1" x14ac:dyDescent="0.2">
      <c r="A998" s="164"/>
      <c r="B998" s="170"/>
      <c r="C998" s="170"/>
      <c r="D998" s="169"/>
      <c r="E998" s="172"/>
      <c r="F998" s="164"/>
      <c r="G998" s="164"/>
      <c r="H998" s="409"/>
      <c r="I998" s="164"/>
    </row>
    <row r="999" spans="1:9" ht="15.75" customHeight="1" x14ac:dyDescent="0.2">
      <c r="A999" s="164"/>
      <c r="B999" s="170"/>
      <c r="C999" s="170"/>
      <c r="D999" s="169"/>
      <c r="E999" s="172"/>
      <c r="F999" s="164"/>
      <c r="G999" s="164"/>
      <c r="H999" s="409"/>
      <c r="I999" s="164"/>
    </row>
  </sheetData>
  <sheetProtection algorithmName="SHA-512" hashValue="aQJMU5wy4tegPGU2iC9BqYlJ6l8aFpxQXPEB8gxi5GART3lQjhIQwbXvtH8sfEhb8Y84aGGCrLLIcOuAB8QSEA==" saltValue="nISoNw8Vu5Uh0cFqIYlgqg==" spinCount="100000" sheet="1" objects="1" scenarios="1"/>
  <mergeCells count="4">
    <mergeCell ref="B6:B9"/>
    <mergeCell ref="D28:E28"/>
    <mergeCell ref="D32:E32"/>
    <mergeCell ref="D36:E36"/>
  </mergeCells>
  <dataValidations count="6">
    <dataValidation type="list" allowBlank="1" showErrorMessage="1" sqref="D5" xr:uid="{00000000-0002-0000-0400-000000000000}">
      <formula1>$D$17:$D$19</formula1>
    </dataValidation>
    <dataValidation type="list" allowBlank="1" showErrorMessage="1" sqref="D6" xr:uid="{00000000-0002-0000-0400-000001000000}">
      <formula1>$D$21:$D$23</formula1>
    </dataValidation>
    <dataValidation type="list" allowBlank="1" showErrorMessage="1" sqref="D9" xr:uid="{00000000-0002-0000-0400-000002000000}">
      <formula1>$D$34:$D$36</formula1>
    </dataValidation>
    <dataValidation type="list" allowBlank="1" showErrorMessage="1" sqref="D7" xr:uid="{00000000-0002-0000-0400-000004000000}">
      <formula1>$D$25:$D$27</formula1>
    </dataValidation>
    <dataValidation type="list" allowBlank="1" showErrorMessage="1" sqref="D8" xr:uid="{00000000-0002-0000-0400-000005000000}">
      <formula1>$D$29:$D$31</formula1>
    </dataValidation>
    <dataValidation type="list" allowBlank="1" showErrorMessage="1" sqref="D10" xr:uid="{00000000-0002-0000-0400-000003000000}">
      <formula1>$D$38:$D$39</formula1>
    </dataValidation>
  </dataValidations>
  <hyperlinks>
    <hyperlink ref="H6" r:id="rId1" xr:uid="{00000000-0004-0000-0400-000000000000}"/>
    <hyperlink ref="H8" r:id="rId2" xr:uid="{00000000-0004-0000-0400-000001000000}"/>
    <hyperlink ref="H9" r:id="rId3" xr:uid="{00000000-0004-0000-0400-000002000000}"/>
    <hyperlink ref="H10" r:id="rId4" xr:uid="{35BBE0D2-9945-4DC8-B123-0CB6AF01764C}"/>
  </hyperlinks>
  <pageMargins left="0.25" right="0.25" top="0.75" bottom="0.75" header="0" footer="0"/>
  <pageSetup paperSize="9"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1"/>
  <sheetViews>
    <sheetView zoomScale="80" zoomScaleNormal="80" workbookViewId="0">
      <pane ySplit="4" topLeftCell="A5" activePane="bottomLeft" state="frozen"/>
      <selection pane="bottomLeft" activeCell="B2" sqref="B2"/>
    </sheetView>
  </sheetViews>
  <sheetFormatPr baseColWidth="10" defaultColWidth="14.42578125" defaultRowHeight="15" customHeight="1" x14ac:dyDescent="0.2"/>
  <cols>
    <col min="1" max="1" width="2.7109375" style="159" customWidth="1"/>
    <col min="2" max="2" width="51.140625" style="159" customWidth="1"/>
    <col min="3" max="3" width="51" style="159" customWidth="1"/>
    <col min="4" max="4" width="58.28515625" style="159" customWidth="1"/>
    <col min="5" max="5" width="16.140625" style="159" customWidth="1"/>
    <col min="6" max="6" width="45.85546875" style="159" customWidth="1"/>
    <col min="7" max="7" width="40.7109375" style="159" customWidth="1"/>
    <col min="8" max="8" width="30.85546875" style="159" customWidth="1"/>
    <col min="9" max="16384" width="14.42578125" style="159"/>
  </cols>
  <sheetData>
    <row r="1" spans="1:8" ht="9.75" customHeight="1" x14ac:dyDescent="0.25">
      <c r="A1" s="155"/>
      <c r="B1" s="156"/>
      <c r="C1" s="156"/>
      <c r="D1" s="156"/>
      <c r="E1" s="157"/>
      <c r="F1" s="156"/>
      <c r="G1" s="156"/>
      <c r="H1" s="158"/>
    </row>
    <row r="2" spans="1:8" ht="21" x14ac:dyDescent="0.35">
      <c r="A2" s="160"/>
      <c r="B2" s="160" t="s">
        <v>279</v>
      </c>
      <c r="C2" s="160"/>
      <c r="D2" s="417" t="s">
        <v>493</v>
      </c>
      <c r="E2" s="161"/>
      <c r="F2" s="160"/>
      <c r="G2" s="160"/>
      <c r="H2" s="162"/>
    </row>
    <row r="3" spans="1:8" ht="4.5" customHeight="1" x14ac:dyDescent="0.25">
      <c r="A3" s="155"/>
      <c r="B3" s="156"/>
      <c r="C3" s="155"/>
      <c r="D3" s="158"/>
      <c r="E3" s="163"/>
      <c r="F3" s="158"/>
      <c r="G3" s="155"/>
      <c r="H3" s="158"/>
    </row>
    <row r="4" spans="1:8" ht="56.25" customHeight="1" x14ac:dyDescent="0.2">
      <c r="A4" s="164"/>
      <c r="B4" s="184" t="s">
        <v>280</v>
      </c>
      <c r="C4" s="168" t="s">
        <v>256</v>
      </c>
      <c r="D4" s="168" t="s">
        <v>255</v>
      </c>
      <c r="E4" s="164"/>
      <c r="F4" s="164"/>
      <c r="G4" s="164"/>
      <c r="H4" s="164"/>
    </row>
    <row r="5" spans="1:8" ht="42.75" customHeight="1" x14ac:dyDescent="0.2">
      <c r="A5" s="164"/>
      <c r="B5" s="721" t="s">
        <v>281</v>
      </c>
      <c r="C5" s="722" t="s">
        <v>282</v>
      </c>
      <c r="D5" s="724"/>
      <c r="E5" s="164"/>
      <c r="F5" s="164"/>
      <c r="G5" s="164"/>
      <c r="H5" s="164"/>
    </row>
    <row r="6" spans="1:8" ht="60" x14ac:dyDescent="0.2">
      <c r="A6" s="164"/>
      <c r="B6" s="721" t="s">
        <v>283</v>
      </c>
      <c r="C6" s="722" t="s">
        <v>284</v>
      </c>
      <c r="D6" s="725"/>
      <c r="E6" s="164"/>
      <c r="F6" s="164"/>
      <c r="G6" s="164"/>
      <c r="H6" s="164"/>
    </row>
    <row r="7" spans="1:8" ht="36" customHeight="1" x14ac:dyDescent="0.2">
      <c r="A7" s="164"/>
      <c r="B7" s="721" t="s">
        <v>285</v>
      </c>
      <c r="C7" s="713" t="s">
        <v>209</v>
      </c>
      <c r="D7" s="725"/>
      <c r="E7" s="164"/>
      <c r="F7" s="164"/>
      <c r="G7" s="164"/>
      <c r="H7" s="164"/>
    </row>
    <row r="8" spans="1:8" x14ac:dyDescent="0.2">
      <c r="A8" s="164"/>
      <c r="B8" s="170"/>
      <c r="C8" s="164"/>
      <c r="D8" s="170"/>
      <c r="E8" s="169"/>
      <c r="F8" s="172"/>
      <c r="G8" s="164"/>
      <c r="H8" s="164"/>
    </row>
    <row r="9" spans="1:8" ht="9.75" customHeight="1" x14ac:dyDescent="0.25">
      <c r="A9" s="173"/>
      <c r="B9" s="173"/>
      <c r="C9" s="175"/>
      <c r="D9" s="173"/>
      <c r="E9" s="174"/>
      <c r="F9" s="175"/>
      <c r="G9" s="175"/>
      <c r="H9" s="176"/>
    </row>
    <row r="10" spans="1:8" x14ac:dyDescent="0.25">
      <c r="A10" s="177"/>
      <c r="B10" s="178" t="s">
        <v>12</v>
      </c>
      <c r="C10" s="177"/>
      <c r="D10" s="178"/>
      <c r="E10" s="179"/>
      <c r="F10" s="177"/>
      <c r="G10" s="177"/>
      <c r="H10" s="177"/>
    </row>
    <row r="11" spans="1:8" x14ac:dyDescent="0.25">
      <c r="A11" s="185"/>
      <c r="B11" s="186"/>
      <c r="C11" s="185"/>
      <c r="D11" s="186"/>
      <c r="E11" s="187"/>
      <c r="F11" s="185"/>
      <c r="G11" s="185"/>
      <c r="H11" s="185"/>
    </row>
  </sheetData>
  <sheetProtection algorithmName="SHA-512" hashValue="gsMot9qIghBFQ7LkBBA7/1PoV3kZvZg1LYWmQbgbOqA5chBg56455wpYWqXKqodFvX5k3oSmyxEYZG/7dg6pjA==" saltValue="U7R0lb3xkzZcUFwDePy8GQ==" spinCount="100000" sheet="1" objects="1" scenarios="1"/>
  <pageMargins left="0.25" right="0.25"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Datos Instalaciones</vt:lpstr>
      <vt:lpstr>Instrucciones para hoja MMEE</vt:lpstr>
      <vt:lpstr>MMEE</vt:lpstr>
      <vt:lpstr>Calculadores</vt:lpstr>
      <vt:lpstr>Género</vt:lpstr>
      <vt:lpstr>SGE</vt:lpstr>
      <vt:lpstr>MMEE!Área_de_impresión</vt:lpstr>
      <vt:lpstr>MMEE!Títulos_a_imprimir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Antonella Tambasco</dc:creator>
  <cp:lastModifiedBy>Adriana Torchelo</cp:lastModifiedBy>
  <cp:lastPrinted>2018-09-07T11:58:46Z</cp:lastPrinted>
  <dcterms:created xsi:type="dcterms:W3CDTF">2015-05-19T13:02:59Z</dcterms:created>
  <dcterms:modified xsi:type="dcterms:W3CDTF">2021-10-18T17:30:03Z</dcterms:modified>
</cp:coreProperties>
</file>